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95" tabRatio="866" activeTab="11"/>
  </bookViews>
  <sheets>
    <sheet name="Стр.1" sheetId="1" r:id="rId1"/>
    <sheet name="Стр.2" sheetId="2" r:id="rId2"/>
    <sheet name="баланс" sheetId="3" r:id="rId3"/>
    <sheet name="Т2 2017" sheetId="4" r:id="rId4"/>
    <sheet name="Т2 2018" sheetId="5" r:id="rId5"/>
    <sheet name="Т2 2019" sheetId="6" r:id="rId6"/>
    <sheet name="Т 2.1" sheetId="7" r:id="rId7"/>
    <sheet name="Т 3.4" sheetId="8" r:id="rId8"/>
    <sheet name="Р 1.1" sheetId="9" r:id="rId9"/>
    <sheet name="Р 1.4" sheetId="10" r:id="rId10"/>
    <sheet name="Р 2,3,4" sheetId="11" r:id="rId11"/>
    <sheet name="Р 5.5,5.6" sheetId="12" r:id="rId12"/>
    <sheet name="5.7бюд" sheetId="13" r:id="rId13"/>
    <sheet name="5.7вб" sheetId="14" r:id="rId14"/>
  </sheets>
  <definedNames>
    <definedName name="_xlnm.Print_Area" localSheetId="12">'5.7бюд'!$A$1:$E$93</definedName>
    <definedName name="_xlnm.Print_Area" localSheetId="13">'5.7вб'!$A$1:$E$117</definedName>
    <definedName name="_xlnm.Print_Area" localSheetId="2">'баланс'!$A$1:$E$27</definedName>
    <definedName name="_xlnm.Print_Area" localSheetId="8">'Р 1.1'!$A$1:$J$37</definedName>
    <definedName name="_xlnm.Print_Area" localSheetId="9">'Р 1.4'!$A$1:$D$26</definedName>
    <definedName name="_xlnm.Print_Area" localSheetId="10">'Р 2,3,4'!$A$1:$F$40</definedName>
    <definedName name="_xlnm.Print_Area" localSheetId="11">'Р 5.5,5.6'!$A$1:$E$47</definedName>
    <definedName name="_xlnm.Print_Area" localSheetId="1">'Стр.2'!$A$1:$ED$51</definedName>
    <definedName name="_xlnm.Print_Area" localSheetId="6">'Т 2.1'!$A$1:$L$15</definedName>
    <definedName name="_xlnm.Print_Area" localSheetId="7">'Т 3.4'!$A$1:$C$30</definedName>
    <definedName name="_xlnm.Print_Area" localSheetId="3">'Т2 2017'!$A$1:$L$49</definedName>
    <definedName name="_xlnm.Print_Area" localSheetId="4">'Т2 2018'!$A$1:$L$49</definedName>
    <definedName name="_xlnm.Print_Area" localSheetId="5">'Т2 2019'!$A$1:$L$49</definedName>
  </definedNames>
  <calcPr fullCalcOnLoad="1"/>
</workbook>
</file>

<file path=xl/sharedStrings.xml><?xml version="1.0" encoding="utf-8"?>
<sst xmlns="http://schemas.openxmlformats.org/spreadsheetml/2006/main" count="847" uniqueCount="439">
  <si>
    <t>Таблица 2</t>
  </si>
  <si>
    <t>Показатели по поступлениям</t>
  </si>
  <si>
    <t>и выплатам учреждения (подразделения)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</si>
  <si>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</si>
  <si>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</si>
  <si>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</si>
  <si>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</si>
  <si>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</si>
  <si>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</si>
  <si>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</si>
  <si>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</si>
  <si>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</si>
  <si>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</si>
  <si>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</si>
  <si>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</si>
  <si>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</si>
  <si>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</si>
  <si>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</si>
  <si>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</si>
  <si>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</si>
  <si>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</si>
  <si>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</si>
  <si>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</si>
  <si>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</si>
  <si>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</si>
  <si>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</si>
  <si>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</si>
  <si>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</si>
  <si>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</si>
  <si>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</si>
  <si>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</si>
  <si>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</si>
  <si>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</si>
  <si>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</si>
  <si>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</si>
  <si>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</si>
  <si>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</si>
  <si>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</si>
  <si>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</si>
  <si>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            1.1. Расчеты (обоснования) расходов на оплату труда</t>
  </si>
  <si>
    <t>N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</si>
  <si>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</si>
  <si>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</si>
  <si>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</si>
  <si>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</si>
  <si>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</si>
  <si>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</si>
  <si>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</si>
  <si>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</si>
  <si>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</si>
  <si>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x</t>
  </si>
  <si>
    <t>Наименование расходов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</si>
  <si>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</si>
  <si>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</si>
  <si>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</si>
  <si>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</si>
  <si>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</si>
  <si>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</si>
  <si>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</si>
  <si>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</si>
  <si>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</si>
  <si>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</si>
  <si>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</si>
  <si>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</si>
  <si>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</si>
  <si>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</si>
  <si>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</si>
  <si>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</si>
  <si>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</si>
  <si>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</si>
  <si>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</si>
  <si>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</si>
  <si>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</si>
  <si>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</si>
  <si>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</si>
  <si>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</si>
  <si>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>Налог на имущество</t>
  </si>
  <si>
    <t>Руководители</t>
  </si>
  <si>
    <t>Младший обслуживающий персонал</t>
  </si>
  <si>
    <t>платные</t>
  </si>
  <si>
    <t>Количество номеров</t>
  </si>
  <si>
    <t>Количество платежей в год</t>
  </si>
  <si>
    <t>Стоимость за единицу, руб.</t>
  </si>
  <si>
    <t>Сумма, руб. (гр. 3 x гр. 4 x гр. 5)</t>
  </si>
  <si>
    <t>Размер потребления ресурсов</t>
  </si>
  <si>
    <t>Тариф (с учетом НДС), руб.</t>
  </si>
  <si>
    <t>Индексация, %</t>
  </si>
  <si>
    <t>Сумма, руб. (гр. 4 x гр. 5 x гр. 6)</t>
  </si>
  <si>
    <t>Количество</t>
  </si>
  <si>
    <t xml:space="preserve">                          по содержанию имущества</t>
  </si>
  <si>
    <t>Объект</t>
  </si>
  <si>
    <t>Количество работ (услуг)</t>
  </si>
  <si>
    <t>Стоимость работ (услуг), руб.</t>
  </si>
  <si>
    <t>Количество договоров</t>
  </si>
  <si>
    <t>Стоимость услуги, руб.</t>
  </si>
  <si>
    <t>Средняя стоимость, руб.</t>
  </si>
  <si>
    <t>Сумма, руб. (гр. 2 x гр. 3)</t>
  </si>
  <si>
    <t>Сведения о средствах, поступающих</t>
  </si>
  <si>
    <t xml:space="preserve">            во временное распоряжение учреждения (подразделения)</t>
  </si>
  <si>
    <t>Сумма (руб., с точностью до двух знаков после запятой - 0,00)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</si>
  <si>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</si>
  <si>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</si>
  <si>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</si>
  <si>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</si>
  <si>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</si>
  <si>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</si>
  <si>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</si>
  <si>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</si>
  <si>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</si>
  <si>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 xml:space="preserve">                   на 01 января 2017 г.</t>
  </si>
  <si>
    <t>Таблица 3.</t>
  </si>
  <si>
    <t>Таблица 4</t>
  </si>
  <si>
    <t xml:space="preserve">Фонд оплаты труда в год, руб. </t>
  </si>
  <si>
    <t>безвозмездные перечисления организациям</t>
  </si>
  <si>
    <t>Воспитатель</t>
  </si>
  <si>
    <t>Другие педагогические работники</t>
  </si>
  <si>
    <t>страхование в Пенсионный фонд Российской Федерации, в Фонд</t>
  </si>
  <si>
    <t>социального страхования Российской Федерации, в Федеральный</t>
  </si>
  <si>
    <t xml:space="preserve"> фонд обязательного медицинского страхования</t>
  </si>
  <si>
    <t>областной</t>
  </si>
  <si>
    <t xml:space="preserve">местный </t>
  </si>
  <si>
    <t>родительская</t>
  </si>
  <si>
    <t>субсидии на финансовое обеспечение выполнения муниципального задания из бюджетов всех уровней</t>
  </si>
  <si>
    <t>III. Расчеты (обоснования) плановых показателей по выплатам, использование при формировании Плана</t>
  </si>
  <si>
    <t>10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</si>
  <si>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</si>
  <si>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</si>
  <si>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</si>
  <si>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</si>
  <si>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</si>
  <si>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</si>
  <si>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</si>
  <si>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</si>
  <si>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</si>
  <si>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</si>
  <si>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</si>
  <si>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</si>
  <si>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</si>
  <si>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</si>
  <si>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</si>
  <si>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</si>
  <si>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</si>
  <si>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</si>
  <si>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</si>
  <si>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</si>
  <si>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2017</t>
  </si>
  <si>
    <t xml:space="preserve"> год</t>
  </si>
  <si>
    <t>Дата</t>
  </si>
  <si>
    <t xml:space="preserve">Наименование </t>
  </si>
  <si>
    <t>по ОКПО</t>
  </si>
  <si>
    <t>муниципального</t>
  </si>
  <si>
    <t>учреждения</t>
  </si>
  <si>
    <t>(подразделения)</t>
  </si>
  <si>
    <t>383</t>
  </si>
  <si>
    <t xml:space="preserve">Наименование органа, </t>
  </si>
  <si>
    <t>осуществляющего</t>
  </si>
  <si>
    <t xml:space="preserve">функции и полномочия </t>
  </si>
  <si>
    <t>учредителя</t>
  </si>
  <si>
    <t xml:space="preserve">Адрес фактического </t>
  </si>
  <si>
    <t>местонахождения</t>
  </si>
  <si>
    <t>Итого по объекту</t>
  </si>
  <si>
    <t>Натуральные показатели</t>
  </si>
  <si>
    <t>Тариф (сумма по договору на единицу, руб.</t>
  </si>
  <si>
    <t>Итого по видам услуг</t>
  </si>
  <si>
    <t>Услуги местной и внутризонновой связи (телефон)</t>
  </si>
  <si>
    <t>Услуги интернет связи по передаче данных, доступ в компьютерную сеть</t>
  </si>
  <si>
    <t>17</t>
  </si>
  <si>
    <t>Показатели выплат по расходам</t>
  </si>
  <si>
    <t>на закупку товаров, работ, услуг учреждения (подразделения)</t>
  </si>
  <si>
    <t>на 01.01.2017 г.</t>
  </si>
  <si>
    <t>Таблица 2.1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</si>
  <si>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</si>
  <si>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</si>
  <si>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</si>
  <si>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</si>
  <si>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</si>
  <si>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2017 год</t>
  </si>
  <si>
    <t>на 2018 год</t>
  </si>
  <si>
    <t>на 2019 год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</si>
  <si>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</si>
  <si>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</si>
  <si>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</si>
  <si>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Масло подсолнечное рафинированное дезодорированное</t>
  </si>
  <si>
    <t>Вафли вес  - вес 1 шт= 20 г</t>
  </si>
  <si>
    <t>Печенье -вес 1 шт= 20 г</t>
  </si>
  <si>
    <t>Зефир -вес 1 шт= 20 г</t>
  </si>
  <si>
    <t>Сок фруктовый в ассортименте, фасованный для детского питания, 0,2 л</t>
  </si>
  <si>
    <t>Сок фруктовый в ассортименте фасованный, 1 л.</t>
  </si>
  <si>
    <t>Крахмал картофельный, фасованный</t>
  </si>
  <si>
    <t>Яйцо куриное пищевое столовое С1</t>
  </si>
  <si>
    <t>Горох колотый шлифованный</t>
  </si>
  <si>
    <t>Крупа гречневая ядрица, фасованная</t>
  </si>
  <si>
    <t>Крупа манная, фасованная</t>
  </si>
  <si>
    <t>Крупа рис круглозерный, шлифованный цельный, фасованный</t>
  </si>
  <si>
    <t>Мука пшеничная, сорт высший, фасованная</t>
  </si>
  <si>
    <t>Крупа пшено шлифованное, фасованное</t>
  </si>
  <si>
    <t>Овсяные хлопья, фасованные</t>
  </si>
  <si>
    <t>Апельсины свежие</t>
  </si>
  <si>
    <t>Вишня быстрозамороженная без косточек</t>
  </si>
  <si>
    <t>Груши свежие</t>
  </si>
  <si>
    <t>Черная смородина быстрозамороженная</t>
  </si>
  <si>
    <t xml:space="preserve"> Яблоки свежие</t>
  </si>
  <si>
    <t>Отруб говядины свежемороженый бескостный</t>
  </si>
  <si>
    <t>Язык говяжий обработанный  в индивидуальной упаковке свежемороженый</t>
  </si>
  <si>
    <t>Куриное филе грудка бескостная свежемороженая</t>
  </si>
  <si>
    <t>Печень говяжья обработанная свежемороженая</t>
  </si>
  <si>
    <t xml:space="preserve">Филе трески свежемороженое без кожи </t>
  </si>
  <si>
    <t>Зелень свежая (укроп, петрушка)</t>
  </si>
  <si>
    <t>Капуста белокочанная свежая</t>
  </si>
  <si>
    <t>Капуста цветная быстрозамороженная</t>
  </si>
  <si>
    <t>Картофель продовольственный свежий</t>
  </si>
  <si>
    <t>Лук зеленый  свежий</t>
  </si>
  <si>
    <t xml:space="preserve">Лук репчатый свежий </t>
  </si>
  <si>
    <t xml:space="preserve">Морковь столовая свежая </t>
  </si>
  <si>
    <t>Огурцы свежие</t>
  </si>
  <si>
    <t>Перец сладкий свежий</t>
  </si>
  <si>
    <t>Томаты  свежие</t>
  </si>
  <si>
    <t>Салат зеленый свежий</t>
  </si>
  <si>
    <t>Свекла столовая свежая</t>
  </si>
  <si>
    <t>Чеснок свежий</t>
  </si>
  <si>
    <t>Кисломолочный напиток ароматизированный со вкусом фруктового наполнителя,  кроме клубничного</t>
  </si>
  <si>
    <t xml:space="preserve">Кефир 3,2 % жирности </t>
  </si>
  <si>
    <t xml:space="preserve">Ряженка 3,2 % жирности </t>
  </si>
  <si>
    <t xml:space="preserve">Масло сливочное 82,5 % жирности </t>
  </si>
  <si>
    <t xml:space="preserve">Молоко питьевое коровье </t>
  </si>
  <si>
    <t xml:space="preserve">Молоко сгущенное с сахаром </t>
  </si>
  <si>
    <t xml:space="preserve">Сметана 15 % жирности </t>
  </si>
  <si>
    <t xml:space="preserve">Сыр  полутвердый 45 % жирности </t>
  </si>
  <si>
    <t xml:space="preserve">Творог 9 % жирности </t>
  </si>
  <si>
    <t xml:space="preserve">Творог для детского питания до трех лет с фруктовым наполнителем </t>
  </si>
  <si>
    <t>Горошек зеленый консервированный</t>
  </si>
  <si>
    <t>Джем  фруктово-ягодный в ассортименте</t>
  </si>
  <si>
    <t>Дрожжи хлебопекарные сушеные</t>
  </si>
  <si>
    <t>Какао-порошок</t>
  </si>
  <si>
    <t>Кофейный напиток злаковый, обогащенный микронутриентами (витаминизированный) для детского питания (питания детей дошкольного и школьного возраста)</t>
  </si>
  <si>
    <t>Макаронные изделия фигурные, в том числе вермишель</t>
  </si>
  <si>
    <t xml:space="preserve">Сахарный песок </t>
  </si>
  <si>
    <t>Соль йодированная</t>
  </si>
  <si>
    <t>Томатная паста</t>
  </si>
  <si>
    <t>Фасоль сухая красная (пестрая)</t>
  </si>
  <si>
    <t>Чай черный байховый среднелистовой гранулированный</t>
  </si>
  <si>
    <t>Уксус 9%-ный</t>
  </si>
  <si>
    <t>Огурцы соленые консервированные в банках</t>
  </si>
  <si>
    <t>Смесь сухофруктов</t>
  </si>
  <si>
    <t>Хлеб из пшеничной муки  с витаминами, железом и йодом для детей школьного и дошкольного возраста</t>
  </si>
  <si>
    <t>Хлеб  из смеси  ржаной и пшеничной муки с витаминами, железом и йодом для детей школьного и дошкольного</t>
  </si>
  <si>
    <t>Приобретение канц.товаров бумага для принтера</t>
  </si>
  <si>
    <t>Дез. ср-во «Аламинол», 1л</t>
  </si>
  <si>
    <t>Дез. Ср-во с моющим эфф. «Ника-2», 1л.</t>
  </si>
  <si>
    <t>Дез. Таблетки «Абактерил-хлор», 1кг, 300таб.</t>
  </si>
  <si>
    <t>Дез.ср-во для посуд.машин «Калгонит», 1 кг</t>
  </si>
  <si>
    <t>Горчица, 400г</t>
  </si>
  <si>
    <t>«Хлорамин-Б», 15кг (300г)</t>
  </si>
  <si>
    <t>Мыло хозяйственное 140г 72% СОЛНЫШКО в обертке</t>
  </si>
  <si>
    <t>Мыло туалетное 100г ДЕТСКОЕ</t>
  </si>
  <si>
    <t>Сода пищевая 500г</t>
  </si>
  <si>
    <t>Порошок стиральный детский УШАСТЫЙ НЯНЬ 4, 5кг универсальный</t>
  </si>
  <si>
    <t>Средство для удаления накипи CALGON 550г</t>
  </si>
  <si>
    <t>Бумага туалетная 2-сл.Мягкий знак белая 4рул./уп.с73</t>
  </si>
  <si>
    <t>Бумага туалетная д/держ.Aster 2-сл.341201 160м</t>
  </si>
  <si>
    <t>Салфетки 1-сл.24х24 ПАСТЕЛЬ голубые 75шт./уп.</t>
  </si>
  <si>
    <t>Салфетки 1-сл.24х24 ПАСТЕЛЬ желтые 75шт./уп.</t>
  </si>
  <si>
    <t>Салфетки 1-сл.24х24 ПАСТЕЛЬ розовые 75шт./уп.</t>
  </si>
  <si>
    <t>Салфетки влажные PAMPERINO ДЕТСКИЕ 80шт в упаковке с клапаном</t>
  </si>
  <si>
    <t>Приобретение комплектов игр и игрушек, обеспечивающих возможность реализации образовательных требований ФГОС ДОО</t>
  </si>
  <si>
    <t>Продукты питания:</t>
  </si>
  <si>
    <t>Пошлины, Пожертвования учреждениям образования</t>
  </si>
  <si>
    <t>УТВЕРЖДАЮ</t>
  </si>
  <si>
    <t>Администрация ГО г. Сибай РБ</t>
  </si>
  <si>
    <t>(наименование органа, осуществляющего функции 
и полномочия учредителя, распорядителя средств бюджета городского округа город Сибай Республики Башкортостан муниципального учреждения)</t>
  </si>
  <si>
    <t>Руководитель</t>
  </si>
  <si>
    <t>(уполномоченное лицо)</t>
  </si>
  <si>
    <t>Глава Администрации</t>
  </si>
  <si>
    <t>(должность)</t>
  </si>
  <si>
    <t>Х.Х. Сулейманов</t>
  </si>
  <si>
    <t>и плановый период 2018 и 2019 года</t>
  </si>
  <si>
    <t>Коды</t>
  </si>
  <si>
    <t>11.01.2017</t>
  </si>
  <si>
    <t>Глава по БК</t>
  </si>
  <si>
    <t>775</t>
  </si>
  <si>
    <t>ИНН</t>
  </si>
  <si>
    <t>КПП</t>
  </si>
  <si>
    <t>по ОКТМО</t>
  </si>
  <si>
    <t>единица измерения по ОКЕИ</t>
  </si>
  <si>
    <t>026701001</t>
  </si>
  <si>
    <t xml:space="preserve">код по реестру участников бюджетного </t>
  </si>
  <si>
    <t>процесса, а также юридических лиц, не</t>
  </si>
  <si>
    <t>являющихся участниками бюджетного</t>
  </si>
  <si>
    <t>11</t>
  </si>
  <si>
    <t>января</t>
  </si>
  <si>
    <t>Администрация городского округа город Сибай Республики Башкортостан</t>
  </si>
  <si>
    <t xml:space="preserve">Единица измерения: </t>
  </si>
  <si>
    <t>рубль</t>
  </si>
  <si>
    <t>I. Сведения о деятельности муниципального учреждения городского округа город Сибай Республики Башкортостан (подразделения)</t>
  </si>
  <si>
    <t xml:space="preserve">1.1. Цели деятельности муниципального учреждения городского округа город Сибай Республики Башкортостан (подразделения): </t>
  </si>
  <si>
    <t>1) создание условий для реализации гарантированного гражданам Российской Федерации права на получение общедоступного и бесплатного дошкольного образования;</t>
  </si>
  <si>
    <t>2)  сохранение и укрепление физического и психического здоровья детей;</t>
  </si>
  <si>
    <t>3)  оказание помощи семье в воспитании детей.</t>
  </si>
  <si>
    <t xml:space="preserve">1.2. Виды деятельности муниципального учреждения городского округа город Сибай Республики Башкортостан (подразделения): </t>
  </si>
  <si>
    <t>1) образовательная деятельность по реализации основных   общеобразовательных программ дошкольного образования в группах общеразвивающей  с приоритетным осуществлением деятельности по познавательно - речевому, социально - личностному, художественно-эстетическому и физическому с учетом федеральных муниципальных требований;</t>
  </si>
  <si>
    <t>2) образовательная деятельность по реализации дополнительных образовательных программ  дошкольного образования, финансируемых в соответствии с муниципальным заданием  Учредителя;</t>
  </si>
  <si>
    <t>3) образовательная деятельность по программам специального (коррекционного) образования;</t>
  </si>
  <si>
    <t>4) лечебно-профилактическая, оздоровительная работа с часто болеющими детьми.</t>
  </si>
  <si>
    <t xml:space="preserve">1.3. Перечень услуг (работ), осуществляемых на платной (частично платной) основе: </t>
  </si>
  <si>
    <t xml:space="preserve">Образовательные и развивающие услуги: </t>
  </si>
  <si>
    <t>1) Кружковая работа по различным направлениям:</t>
  </si>
  <si>
    <t>познавательно - речевое направление</t>
  </si>
  <si>
    <t>социально-личностное направление;</t>
  </si>
  <si>
    <t>физкультурно-оздоровительное;</t>
  </si>
  <si>
    <t>художественно – эстетическое;</t>
  </si>
  <si>
    <t xml:space="preserve">декоративно – прикладное творчество.  </t>
  </si>
  <si>
    <t xml:space="preserve">2) Группы с различным режимом пребывания и направленности:  </t>
  </si>
  <si>
    <t>адаптационная группа для будущих детей вместе с родителями;</t>
  </si>
  <si>
    <t>группа для детей старшего дошкольного возраста  по подготовке к школьному обучению;</t>
  </si>
  <si>
    <t>интеграционная группа для детей с ограниченными возможностями;</t>
  </si>
  <si>
    <t>группа выходного дня;</t>
  </si>
  <si>
    <t>вечерняя группа;</t>
  </si>
  <si>
    <t>круглосуточная группа;</t>
  </si>
  <si>
    <t>прогулочная группа.</t>
  </si>
  <si>
    <t>3) Услуги различных служб  Учреждения :</t>
  </si>
  <si>
    <t>логопедическая помощь;</t>
  </si>
  <si>
    <t>психологическое консультирование;</t>
  </si>
  <si>
    <t>методическое консультирование по вопросам образования дошкольников;</t>
  </si>
  <si>
    <t>разработка программ раннего развития и обучения детей дошкольного возраста;</t>
  </si>
  <si>
    <t>организация курсов, семинаров, стажировок педагогических работников на базе Дошкольного образовательного учреждения;</t>
  </si>
  <si>
    <t>организация и методическая поддержка индивидуальной трудовой педагогической деятельности;</t>
  </si>
  <si>
    <t>организация экскурсионного и культурно-массового обслуживания.</t>
  </si>
  <si>
    <t>4) Физкультурно-оздоровительные мероприятия:</t>
  </si>
  <si>
    <t xml:space="preserve">создание различных секций, групп по укреплению здоровья (гимнастика, аэробика, ритмика, катание на коньках, лыжах, различные игры, общефизическая подготовка и т.д.). </t>
  </si>
  <si>
    <t>5) Для детей, не посещающих Учреждение и их родителей:</t>
  </si>
  <si>
    <t xml:space="preserve">студии, кружки по различным видам деятельности; </t>
  </si>
  <si>
    <t>группы выходного полного и неполного дня;</t>
  </si>
  <si>
    <t>услуги по диагностике и коррекции  речевого и психического развития;</t>
  </si>
  <si>
    <t xml:space="preserve">информационно-консультативные услуги по вопросам воспитания, обучения и развития детей; </t>
  </si>
  <si>
    <t>экскурсионное и культурно-массовое обслуживание;</t>
  </si>
  <si>
    <t>организация досуговой деятельности, включая проведение зрелищных, спортивных, культурно-просветительских, развлекательных и праздничных мероприятий;</t>
  </si>
  <si>
    <t xml:space="preserve">организация групп  с различным режимом пребывания: выходного, продленного и кратковременного пребывания;  </t>
  </si>
  <si>
    <t xml:space="preserve">группа по адаптации детей (до поступления в школу, если ребенок не посещал ДОУ) старшего дошкольного возраста по подготовке к школьному обучению;  </t>
  </si>
  <si>
    <t>организация кружков, клубов совместно с родителями по разным видам деятельности с учетом интересов и склонностей детей;</t>
  </si>
  <si>
    <t>Сумма, руб.</t>
  </si>
  <si>
    <t>5.1</t>
  </si>
  <si>
    <t>0001</t>
  </si>
  <si>
    <t xml:space="preserve">на 01.01.2017 год </t>
  </si>
  <si>
    <t>010</t>
  </si>
  <si>
    <t>020</t>
  </si>
  <si>
    <t>030</t>
  </si>
  <si>
    <t>040</t>
  </si>
  <si>
    <t>Источник финансового обеспечения бюджет субсидии на финансовое обеспечение выполнения муниципального задания из  бюджета городского округа город Сибай Республики Башкортостан</t>
  </si>
  <si>
    <t>80743000</t>
  </si>
  <si>
    <t>на 01.01.2018 г.</t>
  </si>
  <si>
    <t>на 01.01.2019 г.</t>
  </si>
  <si>
    <t>по 223 фз  учреждения : Шифа, Юлдаш</t>
  </si>
  <si>
    <t>остальные по 44 ФЗ</t>
  </si>
  <si>
    <t>Все расходы по строке 2001</t>
  </si>
  <si>
    <t>Исполнитель</t>
  </si>
  <si>
    <t>АУП</t>
  </si>
  <si>
    <t>Пед раб</t>
  </si>
  <si>
    <t>Местный</t>
  </si>
  <si>
    <t>Заместители руководителя по АХЧ</t>
  </si>
  <si>
    <t>Младшие воспитатели</t>
  </si>
  <si>
    <t>Налог на землю</t>
  </si>
  <si>
    <t>Негативное воздействие на окружающую среду</t>
  </si>
  <si>
    <t>Электроэнергия</t>
  </si>
  <si>
    <t>Теплоэнергия</t>
  </si>
  <si>
    <t>Водоотведение</t>
  </si>
  <si>
    <t>Водоснабжение</t>
  </si>
  <si>
    <t>Зарядка огнетушителей</t>
  </si>
  <si>
    <t>Замер сопротивлений изоляции проводов</t>
  </si>
  <si>
    <t>Испытание пожарных кранов</t>
  </si>
  <si>
    <t>Техническое обслуживание теплосчетчиков</t>
  </si>
  <si>
    <t>Техническое обслуживание средств охранной сигнализации</t>
  </si>
  <si>
    <t>Техническое обслуживание средств пожарной сигнализации</t>
  </si>
  <si>
    <t>Техническое облуживание электрических сетей</t>
  </si>
  <si>
    <t>Техническое обслуживание горячего водоснабжения, канализации, отопления</t>
  </si>
  <si>
    <t>Техническое обслуживание сигнала в пожарную часть</t>
  </si>
  <si>
    <t>Оппресовка отопительной системы</t>
  </si>
  <si>
    <t>Текущий ремонт помещений</t>
  </si>
  <si>
    <t>Вывоз твердых бытовых отходов</t>
  </si>
  <si>
    <t>Дератизация, дезинсекция</t>
  </si>
  <si>
    <t>Содержание в чистоте помещений</t>
  </si>
  <si>
    <t>Услуги охраны</t>
  </si>
  <si>
    <t>Медицинский осмотр персонала</t>
  </si>
  <si>
    <t>Услуги нотариуса</t>
  </si>
  <si>
    <t>Аттестацмя рабочих мест</t>
  </si>
  <si>
    <t>Подписка на периодические издания</t>
  </si>
  <si>
    <t>Информационные услуги</t>
  </si>
  <si>
    <t>Курсы повышения квалификации</t>
  </si>
  <si>
    <t>Приобретение канц.товаров (файлы, ручки)</t>
  </si>
  <si>
    <t xml:space="preserve">оплата труда  </t>
  </si>
  <si>
    <t>начисления на выплаты по оплате труда</t>
  </si>
  <si>
    <t xml:space="preserve">прочие выплаты </t>
  </si>
  <si>
    <t>уплата налогов,входящих в группу налога на имущество</t>
  </si>
  <si>
    <t>уплата иных налогов</t>
  </si>
  <si>
    <t>уплата штрафов, пеней за несвоевременную уплату налогов и сборов</t>
  </si>
  <si>
    <t>Директор КУ ЦБ-главный бухгалтер</t>
  </si>
  <si>
    <t>Хамидуллина Н.В.</t>
  </si>
  <si>
    <t>тел: 8(34775)2-88-11</t>
  </si>
  <si>
    <t xml:space="preserve">          1. Расчеты (обоснования) выплат персоналу </t>
  </si>
  <si>
    <t>Код видов расходов    111</t>
  </si>
  <si>
    <t>Код видов расходов    112</t>
  </si>
  <si>
    <t>Код видов расходов    119</t>
  </si>
  <si>
    <t>Код видов расходов  850</t>
  </si>
  <si>
    <t>Код видов расходов  244</t>
  </si>
  <si>
    <t>Источник финансового обеспечения средства от предпринимательской и иной приносящей доход деятельности</t>
  </si>
  <si>
    <t>Муниципальное дошкольное образовательное бюджетное учреждение "Центр развития ребенка - детский сад "Сказка" городского округа город Сибай Республики Башкортостан</t>
  </si>
  <si>
    <t>12730301</t>
  </si>
  <si>
    <t>453833,  Россия, Республика Башкортостан, город Сибай, переулок Интернациональный ,7</t>
  </si>
  <si>
    <r>
      <t xml:space="preserve">1.4. Общая балансовая стоимость недвижимого муниципального имущества </t>
    </r>
    <r>
      <rPr>
        <b/>
        <sz val="12"/>
        <rFont val="Times New Roman"/>
        <family val="1"/>
      </rPr>
      <t>на 01.01.2017 -   120 962 772,08 руб.</t>
    </r>
  </si>
  <si>
    <r>
      <t xml:space="preserve">        в том числе балансовая стоимость особо ценного движимого имущества </t>
    </r>
    <r>
      <rPr>
        <b/>
        <sz val="12"/>
        <rFont val="Times New Roman"/>
        <family val="1"/>
      </rPr>
      <t xml:space="preserve">на 01.01.2017 –  7 918 282,58 руб. </t>
    </r>
  </si>
  <si>
    <r>
      <t xml:space="preserve">1.5. Общая балансовая стоимость движимого муниципального имущества </t>
    </r>
    <r>
      <rPr>
        <b/>
        <sz val="12"/>
        <rFont val="Times New Roman"/>
        <family val="1"/>
      </rPr>
      <t xml:space="preserve">на 01.01.2017 -   6 598 586,86руб. </t>
    </r>
  </si>
  <si>
    <t>II. Показатели финансового состояния муниципального дошкольного образовательного  бюджетного учреждения "Центр развития ребенка-детский сад "Сказка" городского округа город Сибай Республики Башкортостан на 01.01.2017</t>
  </si>
  <si>
    <t>Фаттахова Н.А.</t>
  </si>
  <si>
    <t>Якшигулова М.З</t>
  </si>
  <si>
    <t>в месяц по шт расп</t>
  </si>
  <si>
    <t>Техническое облуживание бассейна</t>
  </si>
  <si>
    <t>Техническое облуживание лифта</t>
  </si>
  <si>
    <t>Территориальное планирование</t>
  </si>
  <si>
    <t>Заведующий МДОБУ ЦРР - д/с Сказка</t>
  </si>
  <si>
    <t>Здание МДОБУ ЦРР - д/с Сказка</t>
  </si>
  <si>
    <t>Таблица 2.2</t>
  </si>
  <si>
    <t>Таблица 2.3</t>
  </si>
  <si>
    <t>1.2. Расчеты (обоснования) выплат персоналу при направлении в служебные командировки</t>
  </si>
  <si>
    <t xml:space="preserve">командировочные расходы при направлении в служебные командировки </t>
  </si>
  <si>
    <t>х</t>
  </si>
  <si>
    <t>1.3. Расчеты (обоснования) страховых взносов на обязательное</t>
  </si>
  <si>
    <t>2. Расчет (обоснование) расходов на уплату налогов,сборов и иных платежей</t>
  </si>
  <si>
    <t>3. Расчет (обоснование) расходов на закупку товаров, работ, услуг</t>
  </si>
  <si>
    <t>3.1. Расчет (обоснование) расходов на оплату услуг связи</t>
  </si>
  <si>
    <t xml:space="preserve">      3.2. Расчет (обоснование) расходов на оплату коммунальных услуг</t>
  </si>
  <si>
    <t xml:space="preserve">         3.3. Расчет (обоснование) расходов на оплату работ, услуг</t>
  </si>
  <si>
    <t>3.4. Расчет (обоснование) расходов на оплату прочих работ, услуг</t>
  </si>
  <si>
    <t xml:space="preserve">3.9. Расчет (обоснование) расходов на приобретение </t>
  </si>
  <si>
    <t xml:space="preserve"> материальных запасов</t>
  </si>
  <si>
    <t>3.5. Расчет (обоснование) расходов на приобретение продуктов питания</t>
  </si>
  <si>
    <t xml:space="preserve">3.6. Расчет (обоснование) расходов на приобретение </t>
  </si>
  <si>
    <t>3.7. Расчет (обоснование) расходов на приобретение продуктов питания</t>
  </si>
  <si>
    <t xml:space="preserve"> основных средств</t>
  </si>
  <si>
    <t xml:space="preserve">3.8. Расчет (обоснование) расходов на приобретение </t>
  </si>
  <si>
    <t xml:space="preserve">Приобретение детской мебели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</si>
</sst>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_р_."/>
    <numFmt numFmtId="179" formatCode="0.000000"/>
    <numFmt numFmtId="180" formatCode="0.00000"/>
    <numFmt numFmtId="181" formatCode="0.0000"/>
    <numFmt numFmtId="182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color indexed="12"/>
      <name val="Times New Roman"/>
      <family val="1"/>
    </font>
    <font>
      <sz val="10"/>
      <color indexed="12"/>
      <name val="Arial Cyr"/>
      <family val="0"/>
    </font>
    <font>
      <u val="single"/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Times New Roman"/>
      <family val="1"/>
    </font>
    <font>
      <b/>
      <sz val="11"/>
      <color indexed="36"/>
      <name val="Times New Roman"/>
      <family val="1"/>
    </font>
    <font>
      <sz val="10"/>
      <color indexed="36"/>
      <name val="Arial Cyr"/>
      <family val="0"/>
    </font>
    <font>
      <b/>
      <sz val="10"/>
      <color indexed="36"/>
      <name val="Arial Cyr"/>
      <family val="0"/>
    </font>
    <font>
      <b/>
      <sz val="9"/>
      <color indexed="36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9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4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4" fontId="3" fillId="24" borderId="0" xfId="0" applyNumberFormat="1" applyFont="1" applyFill="1" applyAlignment="1">
      <alignment/>
    </xf>
    <xf numFmtId="4" fontId="4" fillId="24" borderId="10" xfId="0" applyNumberFormat="1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justify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 indent="3"/>
    </xf>
    <xf numFmtId="4" fontId="4" fillId="0" borderId="10" xfId="0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2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10" xfId="42" applyFont="1" applyFill="1" applyBorder="1" applyAlignment="1" applyProtection="1">
      <alignment vertical="top" wrapText="1"/>
      <protection/>
    </xf>
    <xf numFmtId="0" fontId="3" fillId="24" borderId="10" xfId="0" applyFont="1" applyFill="1" applyBorder="1" applyAlignment="1">
      <alignment vertical="top" wrapText="1"/>
    </xf>
    <xf numFmtId="4" fontId="3" fillId="24" borderId="10" xfId="0" applyNumberFormat="1" applyFont="1" applyFill="1" applyBorder="1" applyAlignment="1">
      <alignment vertical="top" wrapText="1"/>
    </xf>
    <xf numFmtId="0" fontId="8" fillId="24" borderId="10" xfId="42" applyFont="1" applyFill="1" applyBorder="1" applyAlignment="1" applyProtection="1">
      <alignment vertical="top" wrapText="1"/>
      <protection/>
    </xf>
    <xf numFmtId="0" fontId="4" fillId="24" borderId="0" xfId="0" applyFont="1" applyFill="1" applyAlignment="1">
      <alignment/>
    </xf>
    <xf numFmtId="176" fontId="3" fillId="24" borderId="0" xfId="0" applyNumberFormat="1" applyFont="1" applyFill="1" applyAlignment="1">
      <alignment/>
    </xf>
    <xf numFmtId="0" fontId="3" fillId="24" borderId="10" xfId="0" applyFont="1" applyFill="1" applyBorder="1" applyAlignment="1">
      <alignment horizontal="center" wrapText="1"/>
    </xf>
    <xf numFmtId="4" fontId="4" fillId="24" borderId="10" xfId="0" applyNumberFormat="1" applyFont="1" applyFill="1" applyBorder="1" applyAlignment="1">
      <alignment horizontal="right" wrapText="1"/>
    </xf>
    <xf numFmtId="4" fontId="3" fillId="24" borderId="10" xfId="0" applyNumberFormat="1" applyFont="1" applyFill="1" applyBorder="1" applyAlignment="1">
      <alignment horizontal="right" vertical="top" wrapText="1"/>
    </xf>
    <xf numFmtId="4" fontId="3" fillId="24" borderId="10" xfId="0" applyNumberFormat="1" applyFont="1" applyFill="1" applyBorder="1" applyAlignment="1">
      <alignment horizontal="right" wrapText="1"/>
    </xf>
    <xf numFmtId="0" fontId="3" fillId="24" borderId="10" xfId="0" applyFont="1" applyFill="1" applyBorder="1" applyAlignment="1">
      <alignment wrapText="1"/>
    </xf>
    <xf numFmtId="4" fontId="4" fillId="24" borderId="0" xfId="0" applyNumberFormat="1" applyFont="1" applyFill="1" applyAlignment="1">
      <alignment/>
    </xf>
    <xf numFmtId="0" fontId="4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center" wrapText="1"/>
    </xf>
    <xf numFmtId="4" fontId="36" fillId="0" borderId="0" xfId="0" applyNumberFormat="1" applyFont="1" applyFill="1" applyAlignment="1">
      <alignment/>
    </xf>
    <xf numFmtId="0" fontId="35" fillId="24" borderId="0" xfId="0" applyFont="1" applyFill="1" applyAlignment="1">
      <alignment/>
    </xf>
    <xf numFmtId="4" fontId="36" fillId="24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3" fontId="36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4" fontId="36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3" fillId="0" borderId="0" xfId="0" applyNumberFormat="1" applyFont="1" applyAlignment="1">
      <alignment horizontal="left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3" fillId="0" borderId="0" xfId="0" applyFont="1" applyAlignment="1">
      <alignment/>
    </xf>
    <xf numFmtId="49" fontId="13" fillId="0" borderId="11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49" fontId="1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78" fontId="3" fillId="24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15" fillId="24" borderId="10" xfId="0" applyFont="1" applyFill="1" applyBorder="1" applyAlignment="1">
      <alignment horizontal="left" vertical="center" wrapText="1"/>
    </xf>
    <xf numFmtId="0" fontId="15" fillId="24" borderId="10" xfId="0" applyFont="1" applyFill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1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15" fillId="0" borderId="0" xfId="0" applyFont="1" applyAlignment="1">
      <alignment wrapText="1" shrinkToFit="1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41" fillId="0" borderId="0" xfId="0" applyFont="1" applyAlignment="1">
      <alignment/>
    </xf>
    <xf numFmtId="0" fontId="12" fillId="0" borderId="0" xfId="0" applyFont="1" applyAlignment="1">
      <alignment horizontal="center"/>
    </xf>
    <xf numFmtId="178" fontId="11" fillId="0" borderId="0" xfId="0" applyNumberFormat="1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8" fontId="11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vertical="top" wrapText="1"/>
    </xf>
    <xf numFmtId="49" fontId="3" fillId="24" borderId="0" xfId="0" applyNumberFormat="1" applyFont="1" applyFill="1" applyBorder="1" applyAlignment="1">
      <alignment horizontal="center" vertical="top" wrapText="1"/>
    </xf>
    <xf numFmtId="4" fontId="3" fillId="24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/>
    </xf>
    <xf numFmtId="0" fontId="15" fillId="0" borderId="10" xfId="0" applyFont="1" applyBorder="1" applyAlignment="1">
      <alignment wrapText="1"/>
    </xf>
    <xf numFmtId="2" fontId="1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center"/>
    </xf>
    <xf numFmtId="4" fontId="15" fillId="0" borderId="10" xfId="6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4" fontId="3" fillId="24" borderId="12" xfId="0" applyNumberFormat="1" applyFont="1" applyFill="1" applyBorder="1" applyAlignment="1">
      <alignment horizontal="right" wrapText="1"/>
    </xf>
    <xf numFmtId="0" fontId="3" fillId="24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vertical="center" wrapText="1"/>
    </xf>
    <xf numFmtId="4" fontId="4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4" fontId="3" fillId="24" borderId="10" xfId="0" applyNumberFormat="1" applyFont="1" applyFill="1" applyBorder="1" applyAlignment="1">
      <alignment vertical="center" wrapText="1"/>
    </xf>
    <xf numFmtId="4" fontId="3" fillId="24" borderId="10" xfId="0" applyNumberFormat="1" applyFont="1" applyFill="1" applyBorder="1" applyAlignment="1">
      <alignment vertical="center" wrapText="1"/>
    </xf>
    <xf numFmtId="0" fontId="3" fillId="24" borderId="0" xfId="0" applyFont="1" applyFill="1" applyAlignment="1">
      <alignment wrapText="1"/>
    </xf>
    <xf numFmtId="0" fontId="43" fillId="24" borderId="0" xfId="0" applyFont="1" applyFill="1" applyAlignment="1">
      <alignment horizontal="right"/>
    </xf>
    <xf numFmtId="0" fontId="43" fillId="24" borderId="0" xfId="0" applyFont="1" applyFill="1" applyAlignment="1">
      <alignment/>
    </xf>
    <xf numFmtId="0" fontId="43" fillId="24" borderId="0" xfId="0" applyFont="1" applyFill="1" applyAlignment="1">
      <alignment horizontal="justify" vertical="center" wrapText="1"/>
    </xf>
    <xf numFmtId="0" fontId="43" fillId="24" borderId="0" xfId="0" applyFont="1" applyFill="1" applyAlignment="1">
      <alignment/>
    </xf>
    <xf numFmtId="0" fontId="17" fillId="24" borderId="0" xfId="0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0" fillId="24" borderId="0" xfId="0" applyFill="1" applyAlignment="1">
      <alignment/>
    </xf>
    <xf numFmtId="0" fontId="3" fillId="24" borderId="0" xfId="0" applyFont="1" applyFill="1" applyAlignment="1">
      <alignment horizontal="right"/>
    </xf>
    <xf numFmtId="0" fontId="3" fillId="24" borderId="0" xfId="0" applyFont="1" applyFill="1" applyAlignment="1">
      <alignment horizontal="center"/>
    </xf>
    <xf numFmtId="2" fontId="3" fillId="24" borderId="0" xfId="0" applyNumberFormat="1" applyFont="1" applyFill="1" applyAlignment="1">
      <alignment horizontal="left" vertical="center" wrapText="1"/>
    </xf>
    <xf numFmtId="2" fontId="3" fillId="24" borderId="0" xfId="0" applyNumberFormat="1" applyFont="1" applyFill="1" applyAlignment="1">
      <alignment vertical="center" wrapText="1"/>
    </xf>
    <xf numFmtId="0" fontId="3" fillId="24" borderId="0" xfId="0" applyFont="1" applyFill="1" applyAlignment="1">
      <alignment horizontal="justify"/>
    </xf>
    <xf numFmtId="0" fontId="0" fillId="24" borderId="0" xfId="0" applyFill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top" wrapText="1"/>
    </xf>
    <xf numFmtId="0" fontId="10" fillId="24" borderId="0" xfId="0" applyFont="1" applyFill="1" applyAlignment="1">
      <alignment/>
    </xf>
    <xf numFmtId="0" fontId="15" fillId="24" borderId="10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wrapText="1"/>
    </xf>
    <xf numFmtId="0" fontId="15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4" fontId="0" fillId="24" borderId="0" xfId="0" applyNumberFormat="1" applyFill="1" applyAlignment="1">
      <alignment/>
    </xf>
    <xf numFmtId="0" fontId="15" fillId="24" borderId="10" xfId="0" applyFont="1" applyFill="1" applyBorder="1" applyAlignment="1">
      <alignment/>
    </xf>
    <xf numFmtId="0" fontId="14" fillId="24" borderId="10" xfId="0" applyFont="1" applyFill="1" applyBorder="1" applyAlignment="1">
      <alignment horizontal="center" vertical="top" wrapText="1"/>
    </xf>
    <xf numFmtId="0" fontId="17" fillId="24" borderId="10" xfId="0" applyFont="1" applyFill="1" applyBorder="1" applyAlignment="1">
      <alignment vertical="center" wrapText="1"/>
    </xf>
    <xf numFmtId="0" fontId="16" fillId="24" borderId="10" xfId="0" applyFont="1" applyFill="1" applyBorder="1" applyAlignment="1">
      <alignment horizontal="left" vertical="top" wrapText="1"/>
    </xf>
    <xf numFmtId="0" fontId="16" fillId="24" borderId="10" xfId="0" applyFont="1" applyFill="1" applyBorder="1" applyAlignment="1">
      <alignment horizontal="center" vertical="top" wrapText="1"/>
    </xf>
    <xf numFmtId="4" fontId="4" fillId="24" borderId="10" xfId="0" applyNumberFormat="1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top" wrapText="1"/>
    </xf>
    <xf numFmtId="2" fontId="15" fillId="24" borderId="10" xfId="0" applyNumberFormat="1" applyFont="1" applyFill="1" applyBorder="1" applyAlignment="1">
      <alignment horizontal="center"/>
    </xf>
    <xf numFmtId="0" fontId="15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right" vertical="top" wrapText="1"/>
    </xf>
    <xf numFmtId="4" fontId="4" fillId="24" borderId="10" xfId="0" applyNumberFormat="1" applyFont="1" applyFill="1" applyBorder="1" applyAlignment="1">
      <alignment horizontal="center" vertical="top" wrapText="1"/>
    </xf>
    <xf numFmtId="4" fontId="5" fillId="24" borderId="0" xfId="0" applyNumberFormat="1" applyFont="1" applyFill="1" applyAlignment="1">
      <alignment/>
    </xf>
    <xf numFmtId="4" fontId="38" fillId="24" borderId="0" xfId="0" applyNumberFormat="1" applyFont="1" applyFill="1" applyAlignment="1">
      <alignment/>
    </xf>
    <xf numFmtId="0" fontId="38" fillId="24" borderId="0" xfId="0" applyFont="1" applyFill="1" applyAlignment="1">
      <alignment/>
    </xf>
    <xf numFmtId="4" fontId="38" fillId="24" borderId="0" xfId="0" applyNumberFormat="1" applyFont="1" applyFill="1" applyBorder="1" applyAlignment="1">
      <alignment/>
    </xf>
    <xf numFmtId="0" fontId="15" fillId="24" borderId="13" xfId="0" applyFont="1" applyFill="1" applyBorder="1" applyAlignment="1">
      <alignment horizontal="left" wrapText="1"/>
    </xf>
    <xf numFmtId="0" fontId="15" fillId="24" borderId="14" xfId="0" applyFont="1" applyFill="1" applyBorder="1" applyAlignment="1">
      <alignment horizontal="left" wrapText="1"/>
    </xf>
    <xf numFmtId="4" fontId="5" fillId="24" borderId="0" xfId="0" applyNumberFormat="1" applyFon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4" fillId="24" borderId="10" xfId="0" applyFont="1" applyFill="1" applyBorder="1" applyAlignment="1">
      <alignment horizontal="center" vertical="top" wrapText="1"/>
    </xf>
    <xf numFmtId="4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0" fillId="24" borderId="0" xfId="0" applyFill="1" applyAlignment="1">
      <alignment horizontal="center"/>
    </xf>
    <xf numFmtId="0" fontId="15" fillId="24" borderId="10" xfId="0" applyFont="1" applyFill="1" applyBorder="1" applyAlignment="1">
      <alignment horizontal="left" vertical="top" wrapText="1"/>
    </xf>
    <xf numFmtId="178" fontId="9" fillId="24" borderId="10" xfId="0" applyNumberFormat="1" applyFont="1" applyFill="1" applyBorder="1" applyAlignment="1">
      <alignment horizontal="center" vertical="center" wrapText="1"/>
    </xf>
    <xf numFmtId="178" fontId="3" fillId="24" borderId="10" xfId="0" applyNumberFormat="1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left" vertical="center" wrapText="1"/>
    </xf>
    <xf numFmtId="0" fontId="40" fillId="24" borderId="10" xfId="0" applyFont="1" applyFill="1" applyBorder="1" applyAlignment="1">
      <alignment horizontal="center" vertical="center" wrapText="1"/>
    </xf>
    <xf numFmtId="178" fontId="40" fillId="24" borderId="10" xfId="0" applyNumberFormat="1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justify" vertical="center" wrapText="1"/>
    </xf>
    <xf numFmtId="2" fontId="40" fillId="24" borderId="10" xfId="0" applyNumberFormat="1" applyFont="1" applyFill="1" applyBorder="1" applyAlignment="1">
      <alignment horizontal="center" vertical="center" wrapText="1"/>
    </xf>
    <xf numFmtId="0" fontId="37" fillId="24" borderId="0" xfId="0" applyFont="1" applyFill="1" applyAlignment="1">
      <alignment/>
    </xf>
    <xf numFmtId="0" fontId="38" fillId="24" borderId="0" xfId="0" applyFont="1" applyFill="1" applyBorder="1" applyAlignment="1">
      <alignment/>
    </xf>
    <xf numFmtId="178" fontId="37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2" fontId="0" fillId="24" borderId="0" xfId="0" applyNumberFormat="1" applyFill="1" applyAlignment="1">
      <alignment/>
    </xf>
    <xf numFmtId="4" fontId="40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right" vertical="top" wrapText="1"/>
    </xf>
    <xf numFmtId="178" fontId="4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3" fillId="0" borderId="0" xfId="0" applyFont="1" applyAlignment="1">
      <alignment horizontal="justify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9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8" fillId="24" borderId="0" xfId="42" applyFont="1" applyFill="1" applyAlignment="1" applyProtection="1">
      <alignment horizontal="center"/>
      <protection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178" fontId="4" fillId="0" borderId="10" xfId="0" applyNumberFormat="1" applyFont="1" applyBorder="1" applyAlignment="1">
      <alignment horizontal="center" vertical="center" wrapText="1"/>
    </xf>
    <xf numFmtId="0" fontId="43" fillId="24" borderId="0" xfId="0" applyFont="1" applyFill="1" applyAlignment="1">
      <alignment horizontal="right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11" fillId="0" borderId="0" xfId="0" applyFont="1" applyFill="1" applyAlignment="1">
      <alignment horizontal="center" wrapText="1"/>
    </xf>
    <xf numFmtId="0" fontId="12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right" wrapText="1" shrinkToFit="1"/>
    </xf>
    <xf numFmtId="49" fontId="3" fillId="0" borderId="1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 wrapText="1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3" fillId="24" borderId="2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" fontId="3" fillId="24" borderId="10" xfId="0" applyNumberFormat="1" applyFont="1" applyFill="1" applyBorder="1" applyAlignment="1">
      <alignment horizontal="right" vertical="top" wrapText="1"/>
    </xf>
    <xf numFmtId="0" fontId="3" fillId="24" borderId="10" xfId="0" applyFont="1" applyFill="1" applyBorder="1" applyAlignment="1">
      <alignment horizontal="center" wrapText="1"/>
    </xf>
    <xf numFmtId="4" fontId="4" fillId="24" borderId="10" xfId="0" applyNumberFormat="1" applyFont="1" applyFill="1" applyBorder="1" applyAlignment="1">
      <alignment horizontal="right" wrapText="1"/>
    </xf>
    <xf numFmtId="4" fontId="4" fillId="24" borderId="15" xfId="0" applyNumberFormat="1" applyFont="1" applyFill="1" applyBorder="1" applyAlignment="1">
      <alignment horizontal="right" wrapText="1"/>
    </xf>
    <xf numFmtId="4" fontId="4" fillId="24" borderId="12" xfId="0" applyNumberFormat="1" applyFont="1" applyFill="1" applyBorder="1" applyAlignment="1">
      <alignment horizontal="right" wrapText="1"/>
    </xf>
    <xf numFmtId="4" fontId="3" fillId="24" borderId="15" xfId="0" applyNumberFormat="1" applyFont="1" applyFill="1" applyBorder="1" applyAlignment="1">
      <alignment horizontal="right" wrapText="1"/>
    </xf>
    <xf numFmtId="4" fontId="3" fillId="24" borderId="12" xfId="0" applyNumberFormat="1" applyFont="1" applyFill="1" applyBorder="1" applyAlignment="1">
      <alignment horizontal="right" wrapText="1"/>
    </xf>
    <xf numFmtId="4" fontId="3" fillId="24" borderId="10" xfId="0" applyNumberFormat="1" applyFont="1" applyFill="1" applyBorder="1" applyAlignment="1">
      <alignment horizontal="right" wrapText="1"/>
    </xf>
    <xf numFmtId="0" fontId="8" fillId="24" borderId="15" xfId="42" applyFont="1" applyFill="1" applyBorder="1" applyAlignment="1" applyProtection="1">
      <alignment horizontal="center" vertical="center" wrapText="1"/>
      <protection/>
    </xf>
    <xf numFmtId="0" fontId="8" fillId="24" borderId="12" xfId="42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Alignment="1">
      <alignment horizontal="right"/>
    </xf>
    <xf numFmtId="0" fontId="3" fillId="24" borderId="10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right"/>
    </xf>
    <xf numFmtId="0" fontId="3" fillId="24" borderId="0" xfId="0" applyFont="1" applyFill="1" applyAlignment="1">
      <alignment horizontal="left" wrapText="1"/>
    </xf>
    <xf numFmtId="0" fontId="3" fillId="24" borderId="0" xfId="0" applyFont="1" applyFill="1" applyAlignment="1">
      <alignment horizontal="center" vertical="center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top" wrapText="1"/>
    </xf>
    <xf numFmtId="4" fontId="4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/>
    </xf>
    <xf numFmtId="4" fontId="3" fillId="24" borderId="10" xfId="0" applyNumberFormat="1" applyFont="1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24" borderId="0" xfId="0" applyFont="1" applyFill="1" applyAlignment="1">
      <alignment horizontal="center"/>
    </xf>
    <xf numFmtId="2" fontId="3" fillId="0" borderId="0" xfId="0" applyNumberFormat="1" applyFont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2" fontId="3" fillId="24" borderId="0" xfId="0" applyNumberFormat="1" applyFont="1" applyFill="1" applyAlignment="1">
      <alignment horizontal="left" vertical="center" wrapText="1"/>
    </xf>
    <xf numFmtId="0" fontId="4" fillId="24" borderId="13" xfId="0" applyFont="1" applyFill="1" applyBorder="1" applyAlignment="1">
      <alignment horizontal="right" vertical="top" wrapText="1"/>
    </xf>
    <xf numFmtId="0" fontId="4" fillId="24" borderId="14" xfId="0" applyFont="1" applyFill="1" applyBorder="1" applyAlignment="1">
      <alignment horizontal="right" vertical="top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top" wrapText="1"/>
    </xf>
    <xf numFmtId="0" fontId="15" fillId="24" borderId="13" xfId="0" applyFont="1" applyFill="1" applyBorder="1" applyAlignment="1">
      <alignment horizontal="left" wrapText="1"/>
    </xf>
    <xf numFmtId="0" fontId="15" fillId="24" borderId="14" xfId="0" applyFont="1" applyFill="1" applyBorder="1" applyAlignment="1">
      <alignment horizontal="left" wrapText="1"/>
    </xf>
    <xf numFmtId="0" fontId="4" fillId="24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BF242F4A6F15E814FFDA8BA8883EDE30F4271FE77F4760EED3F2D51CFF7ACAEBC7E84A718462B3AK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BF242F4A6F15E814FFDA8BA8883EDE30F4271FE77F4760EED3F2D51CFF7ACAEBC7E84A718462B3AK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BF242F4A6F15E814FFDA8BA8883EDE30F4271FE77F4760EED3F2D51CFF7ACAEBC7E84A718462B3AK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38F91B6445C383068C9FF87801A905B05D7C2BA03DE6E11CC7160FBE7R6RFF" TargetMode="External" /><Relationship Id="rId2" Type="http://schemas.openxmlformats.org/officeDocument/2006/relationships/hyperlink" Target="consultantplus://offline/ref=838F91B6445C383068C9FF87801A905B05D7C2BD04D86E11CC7160FBE7R6RFF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BF242F4A6F15E814FFDA8BA8883EDE30F4271FE77F4760EED3F2D51CF2F37K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31"/>
  <sheetViews>
    <sheetView view="pageBreakPreview" zoomScale="60" zoomScaleNormal="85" workbookViewId="0" topLeftCell="A5">
      <selection activeCell="CP44" sqref="CO44:CP44"/>
    </sheetView>
  </sheetViews>
  <sheetFormatPr defaultColWidth="9.00390625" defaultRowHeight="12.75"/>
  <cols>
    <col min="1" max="24" width="0.875" style="2" customWidth="1"/>
    <col min="25" max="25" width="1.25" style="2" customWidth="1"/>
    <col min="26" max="85" width="0.875" style="2" customWidth="1"/>
    <col min="86" max="86" width="1.625" style="2" customWidth="1"/>
    <col min="87" max="93" width="0.875" style="2" customWidth="1"/>
    <col min="94" max="95" width="1.00390625" style="2" customWidth="1"/>
    <col min="96" max="96" width="1.12109375" style="2" customWidth="1"/>
    <col min="97" max="163" width="0.875" style="2" customWidth="1"/>
    <col min="164" max="164" width="1.25" style="2" customWidth="1"/>
    <col min="165" max="173" width="0.875" style="2" customWidth="1"/>
    <col min="174" max="174" width="1.25" style="123" customWidth="1"/>
    <col min="175" max="175" width="1.625" style="123" customWidth="1"/>
  </cols>
  <sheetData>
    <row r="1" spans="1:175" s="2" customFormat="1" ht="12" customHeight="1">
      <c r="A1" s="97"/>
      <c r="B1" s="97"/>
      <c r="C1" s="97"/>
      <c r="D1" s="97"/>
      <c r="E1" s="97"/>
      <c r="F1" s="97"/>
      <c r="G1" s="97"/>
      <c r="H1" s="97"/>
      <c r="I1" s="110"/>
      <c r="J1" s="107"/>
      <c r="K1" s="107"/>
      <c r="L1" s="107"/>
      <c r="M1" s="107"/>
      <c r="N1" s="97"/>
      <c r="O1" s="97"/>
      <c r="P1" s="9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19"/>
      <c r="AJ1" s="119"/>
      <c r="AK1" s="119"/>
      <c r="AL1" s="119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97"/>
      <c r="BL1" s="97"/>
      <c r="BM1" s="97"/>
      <c r="BN1" s="97"/>
      <c r="BO1" s="97"/>
      <c r="BP1" s="97"/>
      <c r="BQ1" s="97"/>
      <c r="BR1" s="97"/>
      <c r="BS1" s="97"/>
      <c r="BT1" s="97"/>
      <c r="BY1" s="97"/>
      <c r="BZ1" s="97"/>
      <c r="CA1" s="97"/>
      <c r="CB1" s="97"/>
      <c r="CC1" s="97"/>
      <c r="CD1" s="97"/>
      <c r="CE1" s="97"/>
      <c r="CF1" s="97"/>
      <c r="CG1" s="110"/>
      <c r="CH1" s="107"/>
      <c r="CI1" s="107"/>
      <c r="CJ1" s="107"/>
      <c r="CK1" s="107"/>
      <c r="CL1" s="97"/>
      <c r="CM1" s="97"/>
      <c r="CN1" s="9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19"/>
      <c r="DL1" s="119"/>
      <c r="DM1" s="119"/>
      <c r="DN1" s="119"/>
      <c r="DO1" s="122"/>
      <c r="DP1" s="122"/>
      <c r="DQ1" s="122"/>
      <c r="DR1" s="122"/>
      <c r="DS1" s="97"/>
      <c r="DT1" s="97"/>
      <c r="DU1" s="97"/>
      <c r="DV1" s="97"/>
      <c r="DW1" s="97"/>
      <c r="DX1" s="97"/>
      <c r="DY1" s="97"/>
      <c r="DZ1" s="97"/>
      <c r="EA1" s="97"/>
      <c r="EB1" s="97"/>
      <c r="EJ1" s="97"/>
      <c r="EK1" s="97"/>
      <c r="EL1" s="97"/>
      <c r="EM1" s="97"/>
      <c r="EN1" s="97"/>
      <c r="EO1" s="97"/>
      <c r="EP1" s="97"/>
      <c r="EQ1" s="97"/>
      <c r="ER1" s="110"/>
      <c r="ES1" s="300"/>
      <c r="ET1" s="300"/>
      <c r="EU1" s="300"/>
      <c r="EV1" s="300"/>
      <c r="EW1" s="97"/>
      <c r="EX1" s="97"/>
      <c r="EY1" s="97"/>
      <c r="EZ1" s="300"/>
      <c r="FA1" s="300"/>
      <c r="FB1" s="300"/>
      <c r="FC1" s="300"/>
      <c r="FD1" s="300"/>
      <c r="FE1" s="300"/>
      <c r="FF1" s="300"/>
      <c r="FG1" s="300"/>
      <c r="FH1" s="300"/>
      <c r="FI1" s="300"/>
      <c r="FJ1" s="300"/>
      <c r="FK1" s="300"/>
      <c r="FL1" s="300"/>
      <c r="FM1" s="300"/>
      <c r="FN1" s="300"/>
      <c r="FO1" s="300"/>
      <c r="FP1" s="300"/>
      <c r="FQ1" s="300"/>
      <c r="FR1" s="123"/>
      <c r="FS1" s="123"/>
    </row>
    <row r="2" spans="1:175" s="88" customFormat="1" ht="20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2"/>
      <c r="BV2" s="2"/>
      <c r="BW2" s="2"/>
      <c r="BX2" s="2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301" t="s">
        <v>267</v>
      </c>
      <c r="DO2" s="301"/>
      <c r="DP2" s="301"/>
      <c r="DQ2" s="301"/>
      <c r="DR2" s="301"/>
      <c r="DS2" s="301"/>
      <c r="DT2" s="301"/>
      <c r="DU2" s="301"/>
      <c r="DV2" s="301"/>
      <c r="DW2" s="301"/>
      <c r="DX2" s="301"/>
      <c r="DY2" s="301"/>
      <c r="DZ2" s="301"/>
      <c r="EA2" s="301"/>
      <c r="EB2" s="301"/>
      <c r="EC2" s="301"/>
      <c r="ED2" s="301"/>
      <c r="EE2" s="301"/>
      <c r="EF2" s="301"/>
      <c r="EG2" s="301"/>
      <c r="EH2" s="301"/>
      <c r="EI2" s="301"/>
      <c r="EJ2" s="301"/>
      <c r="EK2" s="301"/>
      <c r="EL2" s="301"/>
      <c r="EM2" s="301"/>
      <c r="EN2" s="301"/>
      <c r="EO2" s="301"/>
      <c r="EP2" s="301"/>
      <c r="EQ2" s="301"/>
      <c r="ER2" s="301"/>
      <c r="ES2" s="301"/>
      <c r="ET2" s="301"/>
      <c r="EU2" s="301"/>
      <c r="EV2" s="301"/>
      <c r="EW2" s="301"/>
      <c r="EX2" s="301"/>
      <c r="EY2" s="301"/>
      <c r="EZ2" s="301"/>
      <c r="FA2" s="301"/>
      <c r="FB2" s="301"/>
      <c r="FC2" s="301"/>
      <c r="FD2" s="301"/>
      <c r="FE2" s="301"/>
      <c r="FF2" s="301"/>
      <c r="FG2" s="301"/>
      <c r="FH2" s="301"/>
      <c r="FI2" s="301"/>
      <c r="FJ2" s="301"/>
      <c r="FK2" s="301"/>
      <c r="FL2" s="301"/>
      <c r="FM2" s="301"/>
      <c r="FN2" s="301"/>
      <c r="FO2" s="301"/>
      <c r="FP2" s="301"/>
      <c r="FQ2" s="124"/>
      <c r="FR2" s="123"/>
      <c r="FS2" s="123"/>
    </row>
    <row r="3" spans="1:175" s="88" customFormat="1" ht="14.2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2"/>
      <c r="BV3" s="2"/>
      <c r="BW3" s="2"/>
      <c r="BX3" s="2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301" t="s">
        <v>270</v>
      </c>
      <c r="DO3" s="301"/>
      <c r="DP3" s="301"/>
      <c r="DQ3" s="301"/>
      <c r="DR3" s="301"/>
      <c r="DS3" s="301"/>
      <c r="DT3" s="301"/>
      <c r="DU3" s="301"/>
      <c r="DV3" s="301"/>
      <c r="DW3" s="301"/>
      <c r="DX3" s="301"/>
      <c r="DY3" s="301"/>
      <c r="DZ3" s="301"/>
      <c r="EA3" s="301"/>
      <c r="EB3" s="301"/>
      <c r="EC3" s="94"/>
      <c r="ED3" s="94"/>
      <c r="EE3" s="94"/>
      <c r="EF3" s="94"/>
      <c r="EG3" s="94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Q3" s="124"/>
      <c r="FR3" s="123"/>
      <c r="FS3" s="123"/>
    </row>
    <row r="4" spans="1:175" s="88" customFormat="1" ht="14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2"/>
      <c r="BV4" s="2"/>
      <c r="BW4" s="2"/>
      <c r="BX4" s="2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302" t="s">
        <v>271</v>
      </c>
      <c r="DO4" s="302"/>
      <c r="DP4" s="302"/>
      <c r="DQ4" s="302"/>
      <c r="DR4" s="302"/>
      <c r="DS4" s="302"/>
      <c r="DT4" s="302"/>
      <c r="DU4" s="302"/>
      <c r="DV4" s="302"/>
      <c r="DW4" s="302"/>
      <c r="DX4" s="302"/>
      <c r="DY4" s="302"/>
      <c r="DZ4" s="302"/>
      <c r="EA4" s="302"/>
      <c r="EB4" s="302"/>
      <c r="EC4" s="302"/>
      <c r="ED4" s="302"/>
      <c r="EE4" s="302"/>
      <c r="EF4" s="302"/>
      <c r="EG4" s="302"/>
      <c r="EH4" s="302"/>
      <c r="EI4" s="302"/>
      <c r="EJ4" s="302"/>
      <c r="EK4" s="302"/>
      <c r="EL4" s="302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Q4" s="124"/>
      <c r="FR4" s="123"/>
      <c r="FS4" s="123"/>
    </row>
    <row r="5" spans="1:175" s="88" customFormat="1" ht="22.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2"/>
      <c r="BV5" s="2"/>
      <c r="BW5" s="2"/>
      <c r="BX5" s="2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303" t="s">
        <v>268</v>
      </c>
      <c r="DO5" s="303"/>
      <c r="DP5" s="303"/>
      <c r="DQ5" s="303"/>
      <c r="DR5" s="303"/>
      <c r="DS5" s="303"/>
      <c r="DT5" s="303"/>
      <c r="DU5" s="303"/>
      <c r="DV5" s="303"/>
      <c r="DW5" s="303"/>
      <c r="DX5" s="303"/>
      <c r="DY5" s="303"/>
      <c r="DZ5" s="303"/>
      <c r="EA5" s="303"/>
      <c r="EB5" s="303"/>
      <c r="EC5" s="303"/>
      <c r="ED5" s="303"/>
      <c r="EE5" s="303"/>
      <c r="EF5" s="303"/>
      <c r="EG5" s="303"/>
      <c r="EH5" s="303"/>
      <c r="EI5" s="303"/>
      <c r="EJ5" s="303"/>
      <c r="EK5" s="303"/>
      <c r="EL5" s="303"/>
      <c r="EM5" s="303"/>
      <c r="EN5" s="303"/>
      <c r="EO5" s="303"/>
      <c r="EP5" s="303"/>
      <c r="EQ5" s="303"/>
      <c r="ER5" s="303"/>
      <c r="ES5" s="303"/>
      <c r="ET5" s="303"/>
      <c r="EU5" s="303"/>
      <c r="EV5" s="303"/>
      <c r="EW5" s="303"/>
      <c r="EX5" s="303"/>
      <c r="EY5" s="303"/>
      <c r="EZ5" s="303"/>
      <c r="FA5" s="303"/>
      <c r="FB5" s="303"/>
      <c r="FC5" s="303"/>
      <c r="FD5" s="303"/>
      <c r="FE5" s="303"/>
      <c r="FF5" s="303"/>
      <c r="FG5" s="303"/>
      <c r="FH5" s="303"/>
      <c r="FI5" s="303"/>
      <c r="FJ5" s="303"/>
      <c r="FK5" s="303"/>
      <c r="FL5" s="303"/>
      <c r="FM5" s="303"/>
      <c r="FN5" s="303"/>
      <c r="FO5" s="303"/>
      <c r="FP5" s="303"/>
      <c r="FQ5" s="124"/>
      <c r="FR5" s="123"/>
      <c r="FS5" s="123"/>
    </row>
    <row r="6" spans="1:175" s="88" customFormat="1" ht="49.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2"/>
      <c r="BV6" s="2"/>
      <c r="BW6" s="2"/>
      <c r="BX6" s="2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304" t="s">
        <v>269</v>
      </c>
      <c r="DO6" s="304"/>
      <c r="DP6" s="304"/>
      <c r="DQ6" s="304"/>
      <c r="DR6" s="304"/>
      <c r="DS6" s="304"/>
      <c r="DT6" s="304"/>
      <c r="DU6" s="304"/>
      <c r="DV6" s="304"/>
      <c r="DW6" s="304"/>
      <c r="DX6" s="304"/>
      <c r="DY6" s="304"/>
      <c r="DZ6" s="304"/>
      <c r="EA6" s="304"/>
      <c r="EB6" s="304"/>
      <c r="EC6" s="304"/>
      <c r="ED6" s="304"/>
      <c r="EE6" s="304"/>
      <c r="EF6" s="304"/>
      <c r="EG6" s="304"/>
      <c r="EH6" s="304"/>
      <c r="EI6" s="304"/>
      <c r="EJ6" s="304"/>
      <c r="EK6" s="304"/>
      <c r="EL6" s="304"/>
      <c r="EM6" s="304"/>
      <c r="EN6" s="304"/>
      <c r="EO6" s="304"/>
      <c r="EP6" s="304"/>
      <c r="EQ6" s="304"/>
      <c r="ER6" s="304"/>
      <c r="ES6" s="304"/>
      <c r="ET6" s="304"/>
      <c r="EU6" s="304"/>
      <c r="EV6" s="304"/>
      <c r="EW6" s="304"/>
      <c r="EX6" s="304"/>
      <c r="EY6" s="304"/>
      <c r="EZ6" s="304"/>
      <c r="FA6" s="304"/>
      <c r="FB6" s="304"/>
      <c r="FC6" s="304"/>
      <c r="FD6" s="304"/>
      <c r="FE6" s="304"/>
      <c r="FF6" s="304"/>
      <c r="FG6" s="304"/>
      <c r="FH6" s="304"/>
      <c r="FI6" s="304"/>
      <c r="FJ6" s="304"/>
      <c r="FK6" s="304"/>
      <c r="FL6" s="304"/>
      <c r="FM6" s="304"/>
      <c r="FN6" s="304"/>
      <c r="FO6" s="304"/>
      <c r="FP6" s="304"/>
      <c r="FR6" s="123"/>
      <c r="FS6" s="123"/>
    </row>
    <row r="7" spans="1:175" s="88" customFormat="1" ht="27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2"/>
      <c r="BV7" s="2"/>
      <c r="BW7" s="2"/>
      <c r="BX7" s="2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305" t="s">
        <v>272</v>
      </c>
      <c r="DO7" s="305"/>
      <c r="DP7" s="305"/>
      <c r="DQ7" s="305"/>
      <c r="DR7" s="305"/>
      <c r="DS7" s="305"/>
      <c r="DT7" s="305"/>
      <c r="DU7" s="305"/>
      <c r="DV7" s="305"/>
      <c r="DW7" s="305"/>
      <c r="DX7" s="305"/>
      <c r="DY7" s="305"/>
      <c r="DZ7" s="305"/>
      <c r="EA7" s="305"/>
      <c r="EB7" s="305"/>
      <c r="EC7" s="305"/>
      <c r="ED7" s="305"/>
      <c r="EE7" s="126"/>
      <c r="EF7" s="126"/>
      <c r="EG7" s="305"/>
      <c r="EH7" s="305"/>
      <c r="EI7" s="305"/>
      <c r="EJ7" s="305"/>
      <c r="EK7" s="305"/>
      <c r="EL7" s="305"/>
      <c r="EM7" s="305"/>
      <c r="EN7" s="305"/>
      <c r="EO7" s="305"/>
      <c r="EP7" s="305"/>
      <c r="EQ7" s="305"/>
      <c r="ER7" s="305"/>
      <c r="ES7" s="305"/>
      <c r="ET7" s="305"/>
      <c r="EU7" s="305"/>
      <c r="EV7" s="126"/>
      <c r="EW7" s="126"/>
      <c r="EX7" s="305" t="s">
        <v>274</v>
      </c>
      <c r="EY7" s="305"/>
      <c r="EZ7" s="305"/>
      <c r="FA7" s="305"/>
      <c r="FB7" s="305"/>
      <c r="FC7" s="305"/>
      <c r="FD7" s="305"/>
      <c r="FE7" s="305"/>
      <c r="FF7" s="305"/>
      <c r="FG7" s="305"/>
      <c r="FH7" s="305"/>
      <c r="FI7" s="305"/>
      <c r="FJ7" s="305"/>
      <c r="FK7" s="305"/>
      <c r="FL7" s="305"/>
      <c r="FM7" s="305"/>
      <c r="FN7" s="305"/>
      <c r="FO7" s="305"/>
      <c r="FP7" s="305"/>
      <c r="FQ7" s="123"/>
      <c r="FR7" s="123"/>
      <c r="FS7" s="123"/>
    </row>
    <row r="8" spans="1:175" s="2" customFormat="1" ht="24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88"/>
      <c r="BV8" s="88"/>
      <c r="BW8" s="88"/>
      <c r="BX8" s="88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304" t="s">
        <v>273</v>
      </c>
      <c r="DO8" s="304"/>
      <c r="DP8" s="304"/>
      <c r="DQ8" s="304"/>
      <c r="DR8" s="304"/>
      <c r="DS8" s="304"/>
      <c r="DT8" s="304"/>
      <c r="DU8" s="304"/>
      <c r="DV8" s="304"/>
      <c r="DW8" s="304"/>
      <c r="DX8" s="304"/>
      <c r="DY8" s="304"/>
      <c r="DZ8" s="304"/>
      <c r="EA8" s="304"/>
      <c r="EB8" s="304"/>
      <c r="EC8" s="304"/>
      <c r="ED8" s="304"/>
      <c r="EE8" s="127"/>
      <c r="EF8" s="127"/>
      <c r="EG8" s="304" t="s">
        <v>140</v>
      </c>
      <c r="EH8" s="304"/>
      <c r="EI8" s="304"/>
      <c r="EJ8" s="304"/>
      <c r="EK8" s="304"/>
      <c r="EL8" s="304"/>
      <c r="EM8" s="304"/>
      <c r="EN8" s="304"/>
      <c r="EO8" s="304"/>
      <c r="EP8" s="304"/>
      <c r="EQ8" s="304"/>
      <c r="ER8" s="304"/>
      <c r="ES8" s="304"/>
      <c r="ET8" s="304"/>
      <c r="EU8" s="304"/>
      <c r="EV8" s="127"/>
      <c r="EW8" s="127"/>
      <c r="EX8" s="304" t="s">
        <v>141</v>
      </c>
      <c r="EY8" s="304"/>
      <c r="EZ8" s="304"/>
      <c r="FA8" s="304"/>
      <c r="FB8" s="304"/>
      <c r="FC8" s="304"/>
      <c r="FD8" s="304"/>
      <c r="FE8" s="304"/>
      <c r="FF8" s="304"/>
      <c r="FG8" s="304"/>
      <c r="FH8" s="304"/>
      <c r="FI8" s="304"/>
      <c r="FJ8" s="304"/>
      <c r="FK8" s="304"/>
      <c r="FL8" s="304"/>
      <c r="FM8" s="304"/>
      <c r="FN8" s="304"/>
      <c r="FO8" s="304"/>
      <c r="FP8" s="304"/>
      <c r="FQ8" s="119"/>
      <c r="FR8" s="123"/>
      <c r="FS8" s="123"/>
    </row>
    <row r="9" spans="1:175" s="2" customFormat="1" ht="1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88"/>
      <c r="BV9" s="88"/>
      <c r="BW9" s="88"/>
      <c r="BX9" s="88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7"/>
      <c r="EF9" s="127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7"/>
      <c r="EW9" s="127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19"/>
      <c r="FR9" s="123"/>
      <c r="FS9" s="123"/>
    </row>
    <row r="10" spans="1:175" s="2" customFormat="1" ht="16.5">
      <c r="A10" s="306" t="s">
        <v>144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306"/>
      <c r="CJ10" s="306"/>
      <c r="CK10" s="306"/>
      <c r="CL10" s="306"/>
      <c r="CM10" s="306"/>
      <c r="CN10" s="306"/>
      <c r="CO10" s="306"/>
      <c r="CP10" s="306"/>
      <c r="CQ10" s="306"/>
      <c r="CR10" s="306"/>
      <c r="CS10" s="306"/>
      <c r="CT10" s="306"/>
      <c r="CU10" s="306"/>
      <c r="CV10" s="306"/>
      <c r="CW10" s="306"/>
      <c r="CX10" s="306"/>
      <c r="CY10" s="306"/>
      <c r="CZ10" s="306"/>
      <c r="DA10" s="306"/>
      <c r="DB10" s="306"/>
      <c r="DC10" s="306"/>
      <c r="DD10" s="306"/>
      <c r="DE10" s="306"/>
      <c r="DF10" s="306"/>
      <c r="DG10" s="306"/>
      <c r="DH10" s="306"/>
      <c r="DI10" s="306"/>
      <c r="DJ10" s="306"/>
      <c r="DK10" s="306"/>
      <c r="DL10" s="306"/>
      <c r="DM10" s="306"/>
      <c r="DN10" s="306"/>
      <c r="DO10" s="306"/>
      <c r="DP10" s="306"/>
      <c r="DQ10" s="306"/>
      <c r="DR10" s="306"/>
      <c r="DS10" s="306"/>
      <c r="DT10" s="306"/>
      <c r="DU10" s="306"/>
      <c r="DV10" s="306"/>
      <c r="DW10" s="306"/>
      <c r="DX10" s="306"/>
      <c r="DY10" s="306"/>
      <c r="DZ10" s="306"/>
      <c r="EA10" s="306"/>
      <c r="EB10" s="306"/>
      <c r="EC10" s="306"/>
      <c r="ED10" s="306"/>
      <c r="EE10" s="306"/>
      <c r="EF10" s="306"/>
      <c r="EG10" s="306"/>
      <c r="EH10" s="306"/>
      <c r="EI10" s="306"/>
      <c r="EJ10" s="306"/>
      <c r="EK10" s="306"/>
      <c r="EL10" s="306"/>
      <c r="EM10" s="306"/>
      <c r="EN10" s="306"/>
      <c r="EO10" s="306"/>
      <c r="EP10" s="306"/>
      <c r="EQ10" s="306"/>
      <c r="ER10" s="306"/>
      <c r="ES10" s="306"/>
      <c r="ET10" s="306"/>
      <c r="EU10" s="306"/>
      <c r="EV10" s="306"/>
      <c r="EW10" s="306"/>
      <c r="EX10" s="306"/>
      <c r="EY10" s="306"/>
      <c r="EZ10" s="306"/>
      <c r="FA10" s="306"/>
      <c r="FB10" s="306"/>
      <c r="FC10" s="306"/>
      <c r="FD10" s="306"/>
      <c r="FE10" s="306"/>
      <c r="FF10" s="306"/>
      <c r="FG10" s="306"/>
      <c r="FH10" s="306"/>
      <c r="FI10" s="306"/>
      <c r="FJ10" s="306"/>
      <c r="FK10" s="306"/>
      <c r="FL10" s="306"/>
      <c r="FM10" s="306"/>
      <c r="FN10" s="306"/>
      <c r="FO10" s="306"/>
      <c r="FP10" s="306"/>
      <c r="FQ10" s="306"/>
      <c r="FR10" s="123"/>
      <c r="FS10" s="123"/>
    </row>
    <row r="11" spans="68:175" s="90" customFormat="1" ht="21" customHeight="1">
      <c r="BP11" s="91"/>
      <c r="BQ11" s="91"/>
      <c r="BR11" s="91"/>
      <c r="BS11" s="92" t="s">
        <v>145</v>
      </c>
      <c r="BT11" s="90" t="s">
        <v>146</v>
      </c>
      <c r="CA11" s="90" t="s">
        <v>275</v>
      </c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7"/>
      <c r="CR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13"/>
      <c r="FI11" s="113"/>
      <c r="FJ11" s="113"/>
      <c r="FK11" s="92"/>
      <c r="FL11" s="108"/>
      <c r="FM11" s="108"/>
      <c r="FN11" s="108"/>
      <c r="FO11" s="108"/>
      <c r="FP11" s="108"/>
      <c r="FQ11" s="108"/>
      <c r="FR11" s="123"/>
      <c r="FS11" s="123"/>
    </row>
    <row r="12" spans="140:175" s="2" customFormat="1" ht="15"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123"/>
      <c r="FS12" s="123"/>
    </row>
    <row r="13" spans="68:175" s="2" customFormat="1" ht="19.5" customHeight="1">
      <c r="BP13" s="14" t="s">
        <v>142</v>
      </c>
      <c r="BQ13" s="309" t="s">
        <v>288</v>
      </c>
      <c r="BR13" s="309"/>
      <c r="BS13" s="309"/>
      <c r="BT13" s="309"/>
      <c r="BU13" s="2" t="s">
        <v>142</v>
      </c>
      <c r="BX13" s="309" t="s">
        <v>289</v>
      </c>
      <c r="BY13" s="309"/>
      <c r="BZ13" s="309"/>
      <c r="CA13" s="309"/>
      <c r="CB13" s="309"/>
      <c r="CC13" s="309"/>
      <c r="CD13" s="309"/>
      <c r="CE13" s="309"/>
      <c r="CF13" s="309"/>
      <c r="CG13" s="309"/>
      <c r="CH13" s="309"/>
      <c r="CI13" s="309"/>
      <c r="CJ13" s="309"/>
      <c r="CK13" s="309"/>
      <c r="CL13" s="309"/>
      <c r="CM13" s="309"/>
      <c r="CN13" s="309"/>
      <c r="CO13" s="309"/>
      <c r="CP13" s="310">
        <v>20</v>
      </c>
      <c r="CQ13" s="310"/>
      <c r="CR13" s="310"/>
      <c r="CS13" s="310"/>
      <c r="CT13" s="311" t="s">
        <v>166</v>
      </c>
      <c r="CU13" s="311"/>
      <c r="CV13" s="311"/>
      <c r="CW13" s="311"/>
      <c r="CX13" s="2" t="s">
        <v>143</v>
      </c>
      <c r="EO13" s="97"/>
      <c r="EP13" s="97"/>
      <c r="EQ13" s="9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23"/>
      <c r="FS13" s="123"/>
    </row>
    <row r="14" spans="92:175" s="2" customFormat="1" ht="15">
      <c r="CN14" s="95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EL14" s="94"/>
      <c r="EM14" s="94"/>
      <c r="EN14" s="94"/>
      <c r="EO14" s="94"/>
      <c r="EP14" s="94"/>
      <c r="EQ14" s="94"/>
      <c r="ER14" s="94"/>
      <c r="ES14" s="94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23"/>
      <c r="FS14" s="123"/>
    </row>
    <row r="15" spans="1:175" s="2" customFormat="1" ht="15" customHeight="1">
      <c r="A15" s="95" t="s">
        <v>148</v>
      </c>
      <c r="W15" s="307" t="s">
        <v>404</v>
      </c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7"/>
      <c r="CC15" s="307"/>
      <c r="CD15" s="307"/>
      <c r="CE15" s="307"/>
      <c r="CF15" s="307"/>
      <c r="CG15" s="307"/>
      <c r="CH15" s="307"/>
      <c r="CI15" s="307"/>
      <c r="CJ15" s="307"/>
      <c r="CK15" s="307"/>
      <c r="CL15" s="307"/>
      <c r="CM15" s="307"/>
      <c r="CN15" s="307"/>
      <c r="CO15" s="307"/>
      <c r="CP15" s="307"/>
      <c r="CQ15" s="307"/>
      <c r="CR15" s="307"/>
      <c r="CS15" s="307"/>
      <c r="CT15" s="307"/>
      <c r="CU15" s="307"/>
      <c r="CV15" s="307"/>
      <c r="CW15" s="307"/>
      <c r="CX15" s="307"/>
      <c r="CY15" s="307"/>
      <c r="CZ15" s="155"/>
      <c r="DA15" s="155"/>
      <c r="DB15" s="155"/>
      <c r="DC15" s="155"/>
      <c r="DD15" s="155"/>
      <c r="DE15" s="155"/>
      <c r="DF15" s="155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23"/>
      <c r="FS15" s="123"/>
    </row>
    <row r="16" spans="1:175" s="2" customFormat="1" ht="15">
      <c r="A16" s="95" t="s">
        <v>150</v>
      </c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7"/>
      <c r="CL16" s="307"/>
      <c r="CM16" s="307"/>
      <c r="CN16" s="307"/>
      <c r="CO16" s="307"/>
      <c r="CP16" s="307"/>
      <c r="CQ16" s="307"/>
      <c r="CR16" s="307"/>
      <c r="CS16" s="307"/>
      <c r="CT16" s="307"/>
      <c r="CU16" s="307"/>
      <c r="CV16" s="307"/>
      <c r="CW16" s="307"/>
      <c r="CX16" s="307"/>
      <c r="CY16" s="307"/>
      <c r="CZ16" s="155"/>
      <c r="DA16" s="155"/>
      <c r="DB16" s="155"/>
      <c r="DC16" s="155"/>
      <c r="DD16" s="155"/>
      <c r="DE16" s="155"/>
      <c r="DF16" s="155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23"/>
      <c r="FS16" s="123"/>
    </row>
    <row r="17" spans="1:175" s="2" customFormat="1" ht="15" customHeight="1">
      <c r="A17" s="95" t="s">
        <v>151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307"/>
      <c r="CL17" s="307"/>
      <c r="CM17" s="307"/>
      <c r="CN17" s="307"/>
      <c r="CO17" s="307"/>
      <c r="CP17" s="307"/>
      <c r="CQ17" s="307"/>
      <c r="CR17" s="307"/>
      <c r="CS17" s="307"/>
      <c r="CT17" s="307"/>
      <c r="CU17" s="307"/>
      <c r="CV17" s="307"/>
      <c r="CW17" s="307"/>
      <c r="CX17" s="307"/>
      <c r="CY17" s="307"/>
      <c r="CZ17" s="155"/>
      <c r="DA17" s="155"/>
      <c r="DB17" s="155"/>
      <c r="DC17" s="155"/>
      <c r="DD17" s="155"/>
      <c r="DE17" s="155"/>
      <c r="DF17" s="155"/>
      <c r="EK17" s="94"/>
      <c r="EL17" s="94"/>
      <c r="EM17" s="94"/>
      <c r="EN17" s="94"/>
      <c r="EO17" s="94"/>
      <c r="EP17" s="94"/>
      <c r="EQ17" s="94"/>
      <c r="ER17" s="94"/>
      <c r="ES17" s="94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23"/>
      <c r="FS17" s="123"/>
    </row>
    <row r="18" spans="1:175" s="2" customFormat="1" ht="15">
      <c r="A18" s="95" t="s">
        <v>152</v>
      </c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155"/>
      <c r="DA18" s="155"/>
      <c r="DB18" s="155"/>
      <c r="DC18" s="155"/>
      <c r="DD18" s="155"/>
      <c r="DE18" s="155"/>
      <c r="DF18" s="155"/>
      <c r="EK18" s="94"/>
      <c r="EL18" s="94"/>
      <c r="EM18" s="94"/>
      <c r="EN18" s="94"/>
      <c r="EO18" s="94"/>
      <c r="EP18" s="94"/>
      <c r="EQ18" s="94"/>
      <c r="ER18" s="94"/>
      <c r="ES18" s="94"/>
      <c r="EV18" s="325" t="s">
        <v>276</v>
      </c>
      <c r="EW18" s="325"/>
      <c r="EX18" s="325"/>
      <c r="EY18" s="325"/>
      <c r="EZ18" s="325"/>
      <c r="FA18" s="325"/>
      <c r="FB18" s="325"/>
      <c r="FC18" s="325"/>
      <c r="FD18" s="325"/>
      <c r="FE18" s="325"/>
      <c r="FF18" s="325"/>
      <c r="FG18" s="325"/>
      <c r="FH18" s="325"/>
      <c r="FI18" s="325"/>
      <c r="FJ18" s="325"/>
      <c r="FK18" s="325"/>
      <c r="FL18" s="325"/>
      <c r="FM18" s="325"/>
      <c r="FN18" s="325"/>
      <c r="FO18" s="325"/>
      <c r="FP18" s="325"/>
      <c r="FQ18" s="325"/>
      <c r="FR18" s="123"/>
      <c r="FS18" s="123"/>
    </row>
    <row r="19" spans="18:175" s="2" customFormat="1" ht="15">
      <c r="R19" s="97"/>
      <c r="S19" s="97"/>
      <c r="T19" s="97"/>
      <c r="U19" s="98"/>
      <c r="V19" s="99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96"/>
      <c r="CN19" s="93"/>
      <c r="CP19" s="100"/>
      <c r="CX19" s="101"/>
      <c r="EG19" s="312" t="s">
        <v>147</v>
      </c>
      <c r="EH19" s="312"/>
      <c r="EI19" s="312"/>
      <c r="EJ19" s="312"/>
      <c r="EK19" s="312"/>
      <c r="EL19" s="312"/>
      <c r="EM19" s="312"/>
      <c r="EN19" s="312"/>
      <c r="EO19" s="312"/>
      <c r="EP19" s="312"/>
      <c r="EQ19" s="312"/>
      <c r="ER19" s="312"/>
      <c r="ES19" s="312"/>
      <c r="ET19" s="312"/>
      <c r="EV19" s="325" t="s">
        <v>277</v>
      </c>
      <c r="EW19" s="325"/>
      <c r="EX19" s="325"/>
      <c r="EY19" s="325"/>
      <c r="EZ19" s="325"/>
      <c r="FA19" s="325"/>
      <c r="FB19" s="325"/>
      <c r="FC19" s="325"/>
      <c r="FD19" s="325"/>
      <c r="FE19" s="325"/>
      <c r="FF19" s="325"/>
      <c r="FG19" s="325"/>
      <c r="FH19" s="325"/>
      <c r="FI19" s="325"/>
      <c r="FJ19" s="325"/>
      <c r="FK19" s="325"/>
      <c r="FL19" s="325"/>
      <c r="FM19" s="325"/>
      <c r="FN19" s="325"/>
      <c r="FO19" s="325"/>
      <c r="FP19" s="325"/>
      <c r="FQ19" s="325"/>
      <c r="FR19" s="123"/>
      <c r="FS19" s="123"/>
    </row>
    <row r="20" spans="1:175" s="2" customFormat="1" ht="15">
      <c r="A20" s="95" t="s">
        <v>154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30"/>
      <c r="AA20" s="315" t="s">
        <v>290</v>
      </c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315"/>
      <c r="CJ20" s="315"/>
      <c r="CK20" s="315"/>
      <c r="CL20" s="315"/>
      <c r="CM20" s="315"/>
      <c r="CN20" s="315"/>
      <c r="CO20" s="315"/>
      <c r="CP20" s="315"/>
      <c r="CQ20" s="315"/>
      <c r="CR20" s="315"/>
      <c r="CS20" s="315"/>
      <c r="CT20" s="315"/>
      <c r="CU20" s="315"/>
      <c r="CV20" s="315"/>
      <c r="CW20" s="315"/>
      <c r="CX20" s="315"/>
      <c r="CY20" s="315"/>
      <c r="CZ20" s="132"/>
      <c r="DA20" s="132"/>
      <c r="DB20" s="132"/>
      <c r="DC20" s="132"/>
      <c r="DD20" s="132"/>
      <c r="DE20" s="132"/>
      <c r="DF20" s="132"/>
      <c r="DM20" s="312" t="s">
        <v>149</v>
      </c>
      <c r="DN20" s="312"/>
      <c r="DO20" s="312"/>
      <c r="DP20" s="312"/>
      <c r="DQ20" s="312"/>
      <c r="DR20" s="312"/>
      <c r="DS20" s="312"/>
      <c r="DT20" s="312"/>
      <c r="DU20" s="312"/>
      <c r="DV20" s="312"/>
      <c r="DW20" s="312"/>
      <c r="DX20" s="312"/>
      <c r="DY20" s="312"/>
      <c r="DZ20" s="312"/>
      <c r="EA20" s="312"/>
      <c r="EB20" s="312"/>
      <c r="EC20" s="312"/>
      <c r="ED20" s="312"/>
      <c r="EE20" s="312"/>
      <c r="EF20" s="312"/>
      <c r="EG20" s="312"/>
      <c r="EH20" s="312"/>
      <c r="EI20" s="312"/>
      <c r="EJ20" s="312"/>
      <c r="EK20" s="312"/>
      <c r="EL20" s="312"/>
      <c r="EM20" s="312"/>
      <c r="EN20" s="312"/>
      <c r="EO20" s="312"/>
      <c r="EP20" s="312"/>
      <c r="EQ20" s="312"/>
      <c r="ER20" s="312"/>
      <c r="ES20" s="312"/>
      <c r="ET20" s="312"/>
      <c r="EV20" s="320" t="s">
        <v>405</v>
      </c>
      <c r="EW20" s="321"/>
      <c r="EX20" s="321"/>
      <c r="EY20" s="321"/>
      <c r="EZ20" s="321"/>
      <c r="FA20" s="321"/>
      <c r="FB20" s="321"/>
      <c r="FC20" s="321"/>
      <c r="FD20" s="321"/>
      <c r="FE20" s="321"/>
      <c r="FF20" s="321"/>
      <c r="FG20" s="321"/>
      <c r="FH20" s="321"/>
      <c r="FI20" s="321"/>
      <c r="FJ20" s="321"/>
      <c r="FK20" s="321"/>
      <c r="FL20" s="321"/>
      <c r="FM20" s="321"/>
      <c r="FN20" s="321"/>
      <c r="FO20" s="321"/>
      <c r="FP20" s="321"/>
      <c r="FQ20" s="322"/>
      <c r="FR20" s="123"/>
      <c r="FS20" s="123"/>
    </row>
    <row r="21" spans="1:175" s="2" customFormat="1" ht="13.5" customHeight="1">
      <c r="A21" s="95" t="s">
        <v>155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/>
      <c r="CJ21" s="315"/>
      <c r="CK21" s="315"/>
      <c r="CL21" s="315"/>
      <c r="CM21" s="315"/>
      <c r="CN21" s="315"/>
      <c r="CO21" s="315"/>
      <c r="CP21" s="315"/>
      <c r="CQ21" s="315"/>
      <c r="CR21" s="315"/>
      <c r="CS21" s="315"/>
      <c r="CT21" s="315"/>
      <c r="CU21" s="315"/>
      <c r="CV21" s="315"/>
      <c r="CW21" s="315"/>
      <c r="CX21" s="315"/>
      <c r="CY21" s="315"/>
      <c r="CZ21" s="132"/>
      <c r="DA21" s="132"/>
      <c r="DB21" s="132"/>
      <c r="DC21" s="132"/>
      <c r="DD21" s="132"/>
      <c r="DE21" s="132"/>
      <c r="DF21" s="132"/>
      <c r="DG21" s="128"/>
      <c r="DH21" s="324" t="s">
        <v>278</v>
      </c>
      <c r="DI21" s="324"/>
      <c r="DJ21" s="324"/>
      <c r="DK21" s="324"/>
      <c r="DL21" s="324"/>
      <c r="DM21" s="324"/>
      <c r="DN21" s="324"/>
      <c r="DO21" s="324"/>
      <c r="DP21" s="324"/>
      <c r="DQ21" s="324"/>
      <c r="DR21" s="324"/>
      <c r="DS21" s="324"/>
      <c r="DT21" s="324"/>
      <c r="DU21" s="324"/>
      <c r="DV21" s="324"/>
      <c r="DW21" s="324"/>
      <c r="DX21" s="324"/>
      <c r="DY21" s="324"/>
      <c r="DZ21" s="324"/>
      <c r="EA21" s="324"/>
      <c r="EB21" s="324"/>
      <c r="EC21" s="324"/>
      <c r="ED21" s="324"/>
      <c r="EE21" s="324"/>
      <c r="EF21" s="324"/>
      <c r="EG21" s="324"/>
      <c r="EH21" s="324"/>
      <c r="EI21" s="324"/>
      <c r="EJ21" s="324"/>
      <c r="EK21" s="324"/>
      <c r="EL21" s="324"/>
      <c r="EM21" s="324"/>
      <c r="EN21" s="324"/>
      <c r="EO21" s="324"/>
      <c r="EP21" s="324"/>
      <c r="EQ21" s="324"/>
      <c r="ER21" s="324"/>
      <c r="ES21" s="324"/>
      <c r="ET21" s="324"/>
      <c r="EV21" s="320" t="s">
        <v>279</v>
      </c>
      <c r="EW21" s="321"/>
      <c r="EX21" s="321"/>
      <c r="EY21" s="321"/>
      <c r="EZ21" s="321"/>
      <c r="FA21" s="321"/>
      <c r="FB21" s="321"/>
      <c r="FC21" s="321"/>
      <c r="FD21" s="321"/>
      <c r="FE21" s="321"/>
      <c r="FF21" s="321"/>
      <c r="FG21" s="321"/>
      <c r="FH21" s="321"/>
      <c r="FI21" s="321"/>
      <c r="FJ21" s="321"/>
      <c r="FK21" s="321"/>
      <c r="FL21" s="321"/>
      <c r="FM21" s="321"/>
      <c r="FN21" s="321"/>
      <c r="FO21" s="321"/>
      <c r="FP21" s="321"/>
      <c r="FQ21" s="322"/>
      <c r="FR21" s="123"/>
      <c r="FS21" s="123"/>
    </row>
    <row r="22" spans="1:175" s="100" customFormat="1" ht="14.25" customHeight="1">
      <c r="A22" s="95" t="s">
        <v>156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315"/>
      <c r="CJ22" s="315"/>
      <c r="CK22" s="315"/>
      <c r="CL22" s="315"/>
      <c r="CM22" s="315"/>
      <c r="CN22" s="315"/>
      <c r="CO22" s="315"/>
      <c r="CP22" s="315"/>
      <c r="CQ22" s="315"/>
      <c r="CR22" s="315"/>
      <c r="CS22" s="315"/>
      <c r="CT22" s="315"/>
      <c r="CU22" s="315"/>
      <c r="CV22" s="315"/>
      <c r="CW22" s="315"/>
      <c r="CX22" s="315"/>
      <c r="CY22" s="315"/>
      <c r="CZ22" s="132"/>
      <c r="DA22" s="132"/>
      <c r="DB22" s="132"/>
      <c r="DC22" s="132"/>
      <c r="DD22" s="132"/>
      <c r="DE22" s="132"/>
      <c r="DF22" s="132"/>
      <c r="DH22" s="323" t="s">
        <v>280</v>
      </c>
      <c r="DI22" s="323"/>
      <c r="DJ22" s="323"/>
      <c r="DK22" s="323"/>
      <c r="DL22" s="323"/>
      <c r="DM22" s="323"/>
      <c r="DN22" s="323"/>
      <c r="DO22" s="323"/>
      <c r="DP22" s="323"/>
      <c r="DQ22" s="323"/>
      <c r="DR22" s="323"/>
      <c r="DS22" s="323"/>
      <c r="DT22" s="323"/>
      <c r="DU22" s="323"/>
      <c r="DV22" s="323"/>
      <c r="DW22" s="323"/>
      <c r="DX22" s="323"/>
      <c r="DY22" s="323"/>
      <c r="DZ22" s="323"/>
      <c r="EA22" s="323"/>
      <c r="EB22" s="323"/>
      <c r="EC22" s="323"/>
      <c r="ED22" s="323"/>
      <c r="EE22" s="323"/>
      <c r="EF22" s="323"/>
      <c r="EG22" s="323"/>
      <c r="EH22" s="323"/>
      <c r="EI22" s="323"/>
      <c r="EJ22" s="323"/>
      <c r="EK22" s="323"/>
      <c r="EL22" s="323"/>
      <c r="EM22" s="323"/>
      <c r="EN22" s="323"/>
      <c r="EO22" s="323"/>
      <c r="EP22" s="323"/>
      <c r="EQ22" s="323"/>
      <c r="ER22" s="323"/>
      <c r="ES22" s="323"/>
      <c r="ET22" s="323"/>
      <c r="EV22" s="317">
        <v>267018802</v>
      </c>
      <c r="EW22" s="318"/>
      <c r="EX22" s="318"/>
      <c r="EY22" s="318"/>
      <c r="EZ22" s="318"/>
      <c r="FA22" s="318"/>
      <c r="FB22" s="318"/>
      <c r="FC22" s="318"/>
      <c r="FD22" s="318"/>
      <c r="FE22" s="318"/>
      <c r="FF22" s="318"/>
      <c r="FG22" s="318"/>
      <c r="FH22" s="318"/>
      <c r="FI22" s="318"/>
      <c r="FJ22" s="318"/>
      <c r="FK22" s="318"/>
      <c r="FL22" s="318"/>
      <c r="FM22" s="318"/>
      <c r="FN22" s="318"/>
      <c r="FO22" s="318"/>
      <c r="FP22" s="318"/>
      <c r="FQ22" s="319"/>
      <c r="FR22" s="123"/>
      <c r="FS22" s="123"/>
    </row>
    <row r="23" spans="1:175" s="100" customFormat="1" ht="13.5" customHeight="1">
      <c r="A23" s="95" t="s">
        <v>157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29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  <c r="BB23" s="316"/>
      <c r="BC23" s="316"/>
      <c r="BD23" s="316"/>
      <c r="BE23" s="316"/>
      <c r="BF23" s="316"/>
      <c r="BG23" s="316"/>
      <c r="BH23" s="316"/>
      <c r="BI23" s="316"/>
      <c r="BJ23" s="316"/>
      <c r="BK23" s="316"/>
      <c r="BL23" s="316"/>
      <c r="BM23" s="316"/>
      <c r="BN23" s="316"/>
      <c r="BO23" s="316"/>
      <c r="BP23" s="316"/>
      <c r="BQ23" s="316"/>
      <c r="BR23" s="316"/>
      <c r="BS23" s="316"/>
      <c r="BT23" s="316"/>
      <c r="BU23" s="316"/>
      <c r="BV23" s="316"/>
      <c r="BW23" s="316"/>
      <c r="BX23" s="316"/>
      <c r="BY23" s="316"/>
      <c r="BZ23" s="316"/>
      <c r="CA23" s="316"/>
      <c r="CB23" s="316"/>
      <c r="CC23" s="316"/>
      <c r="CD23" s="316"/>
      <c r="CE23" s="316"/>
      <c r="CF23" s="316"/>
      <c r="CG23" s="316"/>
      <c r="CH23" s="316"/>
      <c r="CI23" s="316"/>
      <c r="CJ23" s="316"/>
      <c r="CK23" s="316"/>
      <c r="CL23" s="316"/>
      <c r="CM23" s="316"/>
      <c r="CN23" s="316"/>
      <c r="CO23" s="316"/>
      <c r="CP23" s="316"/>
      <c r="CQ23" s="316"/>
      <c r="CR23" s="316"/>
      <c r="CS23" s="316"/>
      <c r="CT23" s="316"/>
      <c r="CU23" s="316"/>
      <c r="CV23" s="316"/>
      <c r="CW23" s="316"/>
      <c r="CX23" s="316"/>
      <c r="CY23" s="316"/>
      <c r="CZ23" s="132"/>
      <c r="DA23" s="132"/>
      <c r="DB23" s="132"/>
      <c r="DC23" s="132"/>
      <c r="DD23" s="132"/>
      <c r="DE23" s="132"/>
      <c r="DF23" s="132"/>
      <c r="DH23" s="323" t="s">
        <v>281</v>
      </c>
      <c r="DI23" s="323"/>
      <c r="DJ23" s="323"/>
      <c r="DK23" s="323"/>
      <c r="DL23" s="323"/>
      <c r="DM23" s="323"/>
      <c r="DN23" s="323"/>
      <c r="DO23" s="323"/>
      <c r="DP23" s="323"/>
      <c r="DQ23" s="323"/>
      <c r="DR23" s="323"/>
      <c r="DS23" s="323"/>
      <c r="DT23" s="323"/>
      <c r="DU23" s="323"/>
      <c r="DV23" s="323"/>
      <c r="DW23" s="323"/>
      <c r="DX23" s="323"/>
      <c r="DY23" s="323"/>
      <c r="DZ23" s="323"/>
      <c r="EA23" s="323"/>
      <c r="EB23" s="323"/>
      <c r="EC23" s="323"/>
      <c r="ED23" s="323"/>
      <c r="EE23" s="323"/>
      <c r="EF23" s="323"/>
      <c r="EG23" s="323"/>
      <c r="EH23" s="323"/>
      <c r="EI23" s="323"/>
      <c r="EJ23" s="323"/>
      <c r="EK23" s="323"/>
      <c r="EL23" s="323"/>
      <c r="EM23" s="323"/>
      <c r="EN23" s="323"/>
      <c r="EO23" s="323"/>
      <c r="EP23" s="323"/>
      <c r="EQ23" s="323"/>
      <c r="ER23" s="323"/>
      <c r="ES23" s="323"/>
      <c r="ET23" s="323"/>
      <c r="EV23" s="320" t="s">
        <v>284</v>
      </c>
      <c r="EW23" s="321"/>
      <c r="EX23" s="321"/>
      <c r="EY23" s="321"/>
      <c r="EZ23" s="321"/>
      <c r="FA23" s="321"/>
      <c r="FB23" s="321"/>
      <c r="FC23" s="321"/>
      <c r="FD23" s="321"/>
      <c r="FE23" s="321"/>
      <c r="FF23" s="321"/>
      <c r="FG23" s="321"/>
      <c r="FH23" s="321"/>
      <c r="FI23" s="321"/>
      <c r="FJ23" s="321"/>
      <c r="FK23" s="321"/>
      <c r="FL23" s="321"/>
      <c r="FM23" s="321"/>
      <c r="FN23" s="321"/>
      <c r="FO23" s="321"/>
      <c r="FP23" s="321"/>
      <c r="FQ23" s="322"/>
      <c r="FR23" s="123"/>
      <c r="FS23" s="123"/>
    </row>
    <row r="24" spans="92:175" s="100" customFormat="1" ht="13.5" customHeight="1">
      <c r="CN24" s="102"/>
      <c r="DH24" s="323" t="s">
        <v>282</v>
      </c>
      <c r="DI24" s="323"/>
      <c r="DJ24" s="323"/>
      <c r="DK24" s="323"/>
      <c r="DL24" s="323"/>
      <c r="DM24" s="323"/>
      <c r="DN24" s="323"/>
      <c r="DO24" s="323"/>
      <c r="DP24" s="323"/>
      <c r="DQ24" s="323"/>
      <c r="DR24" s="323"/>
      <c r="DS24" s="323"/>
      <c r="DT24" s="323"/>
      <c r="DU24" s="323"/>
      <c r="DV24" s="323"/>
      <c r="DW24" s="323"/>
      <c r="DX24" s="323"/>
      <c r="DY24" s="323"/>
      <c r="DZ24" s="323"/>
      <c r="EA24" s="323"/>
      <c r="EB24" s="323"/>
      <c r="EC24" s="323"/>
      <c r="ED24" s="323"/>
      <c r="EE24" s="323"/>
      <c r="EF24" s="323"/>
      <c r="EG24" s="323"/>
      <c r="EH24" s="323"/>
      <c r="EI24" s="323"/>
      <c r="EJ24" s="323"/>
      <c r="EK24" s="323"/>
      <c r="EL24" s="323"/>
      <c r="EM24" s="323"/>
      <c r="EN24" s="323"/>
      <c r="EO24" s="323"/>
      <c r="EP24" s="323"/>
      <c r="EQ24" s="323"/>
      <c r="ER24" s="323"/>
      <c r="ES24" s="323"/>
      <c r="ET24" s="323"/>
      <c r="EV24" s="320" t="s">
        <v>348</v>
      </c>
      <c r="EW24" s="321"/>
      <c r="EX24" s="321"/>
      <c r="EY24" s="321"/>
      <c r="EZ24" s="321"/>
      <c r="FA24" s="321"/>
      <c r="FB24" s="321"/>
      <c r="FC24" s="321"/>
      <c r="FD24" s="321"/>
      <c r="FE24" s="321"/>
      <c r="FF24" s="321"/>
      <c r="FG24" s="321"/>
      <c r="FH24" s="321"/>
      <c r="FI24" s="321"/>
      <c r="FJ24" s="321"/>
      <c r="FK24" s="321"/>
      <c r="FL24" s="321"/>
      <c r="FM24" s="321"/>
      <c r="FN24" s="321"/>
      <c r="FO24" s="321"/>
      <c r="FP24" s="321"/>
      <c r="FQ24" s="322"/>
      <c r="FR24" s="123"/>
      <c r="FS24" s="123"/>
    </row>
    <row r="25" spans="1:175" s="2" customFormat="1" ht="14.25" customHeight="1">
      <c r="A25" s="102" t="s">
        <v>291</v>
      </c>
      <c r="Z25" s="103"/>
      <c r="AA25" s="313" t="s">
        <v>292</v>
      </c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13"/>
      <c r="BH25" s="313"/>
      <c r="BI25" s="313"/>
      <c r="BJ25" s="313"/>
      <c r="BK25" s="313"/>
      <c r="BL25" s="313"/>
      <c r="BM25" s="313"/>
      <c r="BN25" s="313"/>
      <c r="BO25" s="313"/>
      <c r="BP25" s="313"/>
      <c r="BQ25" s="313"/>
      <c r="BR25" s="313"/>
      <c r="BS25" s="313"/>
      <c r="BT25" s="313"/>
      <c r="BU25" s="313"/>
      <c r="BV25" s="313"/>
      <c r="BW25" s="313"/>
      <c r="BX25" s="313"/>
      <c r="BY25" s="313"/>
      <c r="BZ25" s="313"/>
      <c r="CA25" s="313"/>
      <c r="CB25" s="313"/>
      <c r="CC25" s="313"/>
      <c r="CD25" s="313"/>
      <c r="CE25" s="313"/>
      <c r="CF25" s="313"/>
      <c r="CG25" s="313"/>
      <c r="CH25" s="313"/>
      <c r="CI25" s="313"/>
      <c r="CJ25" s="313"/>
      <c r="CK25" s="313"/>
      <c r="CL25" s="313"/>
      <c r="CM25" s="313"/>
      <c r="CN25" s="313"/>
      <c r="CO25" s="313"/>
      <c r="CP25" s="313"/>
      <c r="CQ25" s="313"/>
      <c r="CR25" s="313"/>
      <c r="CS25" s="313"/>
      <c r="CT25" s="313"/>
      <c r="CU25" s="313"/>
      <c r="CV25" s="313"/>
      <c r="CW25" s="313"/>
      <c r="CX25" s="313"/>
      <c r="CY25" s="313"/>
      <c r="CZ25" s="159"/>
      <c r="DA25" s="159"/>
      <c r="DB25" s="159"/>
      <c r="DC25" s="159"/>
      <c r="DD25" s="159"/>
      <c r="DE25" s="159"/>
      <c r="DF25" s="159"/>
      <c r="DG25" s="104"/>
      <c r="DH25" s="326" t="s">
        <v>283</v>
      </c>
      <c r="DI25" s="326"/>
      <c r="DJ25" s="326"/>
      <c r="DK25" s="326"/>
      <c r="DL25" s="326"/>
      <c r="DM25" s="326"/>
      <c r="DN25" s="326"/>
      <c r="DO25" s="326"/>
      <c r="DP25" s="326"/>
      <c r="DQ25" s="326"/>
      <c r="DR25" s="326"/>
      <c r="DS25" s="326"/>
      <c r="DT25" s="326"/>
      <c r="DU25" s="326"/>
      <c r="DV25" s="326"/>
      <c r="DW25" s="326"/>
      <c r="DX25" s="326"/>
      <c r="DY25" s="326"/>
      <c r="DZ25" s="326"/>
      <c r="EA25" s="326"/>
      <c r="EB25" s="326"/>
      <c r="EC25" s="326"/>
      <c r="ED25" s="326"/>
      <c r="EE25" s="326"/>
      <c r="EF25" s="326"/>
      <c r="EG25" s="326"/>
      <c r="EH25" s="326"/>
      <c r="EI25" s="326"/>
      <c r="EJ25" s="326"/>
      <c r="EK25" s="326"/>
      <c r="EL25" s="326"/>
      <c r="EM25" s="326"/>
      <c r="EN25" s="326"/>
      <c r="EO25" s="326"/>
      <c r="EP25" s="326"/>
      <c r="EQ25" s="326"/>
      <c r="ER25" s="326"/>
      <c r="ES25" s="326"/>
      <c r="ET25" s="326"/>
      <c r="EU25" s="103"/>
      <c r="EV25" s="325" t="s">
        <v>153</v>
      </c>
      <c r="EW25" s="325"/>
      <c r="EX25" s="325"/>
      <c r="EY25" s="325"/>
      <c r="EZ25" s="325"/>
      <c r="FA25" s="325"/>
      <c r="FB25" s="325"/>
      <c r="FC25" s="325"/>
      <c r="FD25" s="325"/>
      <c r="FE25" s="325"/>
      <c r="FF25" s="325"/>
      <c r="FG25" s="325"/>
      <c r="FH25" s="325"/>
      <c r="FI25" s="325"/>
      <c r="FJ25" s="325"/>
      <c r="FK25" s="325"/>
      <c r="FL25" s="325"/>
      <c r="FM25" s="325"/>
      <c r="FN25" s="325"/>
      <c r="FO25" s="325"/>
      <c r="FP25" s="325"/>
      <c r="FQ25" s="325"/>
      <c r="FR25" s="123"/>
      <c r="FS25" s="123"/>
    </row>
    <row r="26" spans="26:175" s="2" customFormat="1" ht="13.5" customHeight="1">
      <c r="Z26" s="103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04"/>
      <c r="DH26" s="324" t="s">
        <v>285</v>
      </c>
      <c r="DI26" s="324"/>
      <c r="DJ26" s="324"/>
      <c r="DK26" s="324"/>
      <c r="DL26" s="324"/>
      <c r="DM26" s="324"/>
      <c r="DN26" s="324"/>
      <c r="DO26" s="324"/>
      <c r="DP26" s="324"/>
      <c r="DQ26" s="324"/>
      <c r="DR26" s="324"/>
      <c r="DS26" s="324"/>
      <c r="DT26" s="324"/>
      <c r="DU26" s="324"/>
      <c r="DV26" s="324"/>
      <c r="DW26" s="324"/>
      <c r="DX26" s="324"/>
      <c r="DY26" s="324"/>
      <c r="DZ26" s="324"/>
      <c r="EA26" s="324"/>
      <c r="EB26" s="324"/>
      <c r="EC26" s="324"/>
      <c r="ED26" s="324"/>
      <c r="EE26" s="324"/>
      <c r="EF26" s="324"/>
      <c r="EG26" s="324"/>
      <c r="EH26" s="324"/>
      <c r="EI26" s="324"/>
      <c r="EJ26" s="324"/>
      <c r="EK26" s="324"/>
      <c r="EL26" s="324"/>
      <c r="EM26" s="324"/>
      <c r="EN26" s="324"/>
      <c r="EO26" s="324"/>
      <c r="EP26" s="324"/>
      <c r="EQ26" s="324"/>
      <c r="ER26" s="324"/>
      <c r="ES26" s="324"/>
      <c r="ET26" s="324"/>
      <c r="EU26" s="103"/>
      <c r="EV26" s="327"/>
      <c r="EW26" s="328"/>
      <c r="EX26" s="328"/>
      <c r="EY26" s="328"/>
      <c r="EZ26" s="328"/>
      <c r="FA26" s="328"/>
      <c r="FB26" s="328"/>
      <c r="FC26" s="328"/>
      <c r="FD26" s="328"/>
      <c r="FE26" s="328"/>
      <c r="FF26" s="328"/>
      <c r="FG26" s="328"/>
      <c r="FH26" s="328"/>
      <c r="FI26" s="328"/>
      <c r="FJ26" s="328"/>
      <c r="FK26" s="328"/>
      <c r="FL26" s="328"/>
      <c r="FM26" s="328"/>
      <c r="FN26" s="328"/>
      <c r="FO26" s="328"/>
      <c r="FP26" s="328"/>
      <c r="FQ26" s="329"/>
      <c r="FR26" s="123"/>
      <c r="FS26" s="123"/>
    </row>
    <row r="27" spans="1:175" s="2" customFormat="1" ht="14.25" customHeight="1">
      <c r="A27" s="95" t="s">
        <v>158</v>
      </c>
      <c r="AA27" s="314" t="s">
        <v>406</v>
      </c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133"/>
      <c r="DA27" s="133"/>
      <c r="DB27" s="133"/>
      <c r="DC27" s="133"/>
      <c r="DD27" s="133"/>
      <c r="DE27" s="133"/>
      <c r="DF27" s="133"/>
      <c r="DG27" s="93"/>
      <c r="DH27" s="323" t="s">
        <v>286</v>
      </c>
      <c r="DI27" s="323"/>
      <c r="DJ27" s="323"/>
      <c r="DK27" s="323"/>
      <c r="DL27" s="323"/>
      <c r="DM27" s="323"/>
      <c r="DN27" s="323"/>
      <c r="DO27" s="323"/>
      <c r="DP27" s="323"/>
      <c r="DQ27" s="323"/>
      <c r="DR27" s="323"/>
      <c r="DS27" s="323"/>
      <c r="DT27" s="323"/>
      <c r="DU27" s="323"/>
      <c r="DV27" s="323"/>
      <c r="DW27" s="323"/>
      <c r="DX27" s="323"/>
      <c r="DY27" s="323"/>
      <c r="DZ27" s="323"/>
      <c r="EA27" s="323"/>
      <c r="EB27" s="323"/>
      <c r="EC27" s="323"/>
      <c r="ED27" s="323"/>
      <c r="EE27" s="323"/>
      <c r="EF27" s="323"/>
      <c r="EG27" s="323"/>
      <c r="EH27" s="323"/>
      <c r="EI27" s="323"/>
      <c r="EJ27" s="323"/>
      <c r="EK27" s="323"/>
      <c r="EL27" s="323"/>
      <c r="EM27" s="323"/>
      <c r="EN27" s="323"/>
      <c r="EO27" s="323"/>
      <c r="EP27" s="323"/>
      <c r="EQ27" s="323"/>
      <c r="ER27" s="323"/>
      <c r="ES27" s="323"/>
      <c r="ET27" s="323"/>
      <c r="EV27" s="284"/>
      <c r="EW27" s="300"/>
      <c r="EX27" s="300"/>
      <c r="EY27" s="300"/>
      <c r="EZ27" s="300"/>
      <c r="FA27" s="300"/>
      <c r="FB27" s="300"/>
      <c r="FC27" s="300"/>
      <c r="FD27" s="300"/>
      <c r="FE27" s="300"/>
      <c r="FF27" s="300"/>
      <c r="FG27" s="300"/>
      <c r="FH27" s="300"/>
      <c r="FI27" s="300"/>
      <c r="FJ27" s="300"/>
      <c r="FK27" s="300"/>
      <c r="FL27" s="300"/>
      <c r="FM27" s="300"/>
      <c r="FN27" s="300"/>
      <c r="FO27" s="300"/>
      <c r="FP27" s="300"/>
      <c r="FQ27" s="285"/>
      <c r="FR27" s="123"/>
      <c r="FS27" s="123"/>
    </row>
    <row r="28" spans="1:175" s="2" customFormat="1" ht="14.25" customHeight="1">
      <c r="A28" s="95" t="s">
        <v>159</v>
      </c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4"/>
      <c r="BF28" s="314"/>
      <c r="BG28" s="314"/>
      <c r="BH28" s="314"/>
      <c r="BI28" s="314"/>
      <c r="BJ28" s="314"/>
      <c r="BK28" s="314"/>
      <c r="BL28" s="314"/>
      <c r="BM28" s="314"/>
      <c r="BN28" s="314"/>
      <c r="BO28" s="314"/>
      <c r="BP28" s="314"/>
      <c r="BQ28" s="314"/>
      <c r="BR28" s="314"/>
      <c r="BS28" s="314"/>
      <c r="BT28" s="314"/>
      <c r="BU28" s="314"/>
      <c r="BV28" s="314"/>
      <c r="BW28" s="314"/>
      <c r="BX28" s="314"/>
      <c r="BY28" s="314"/>
      <c r="BZ28" s="314"/>
      <c r="CA28" s="314"/>
      <c r="CB28" s="314"/>
      <c r="CC28" s="314"/>
      <c r="CD28" s="314"/>
      <c r="CE28" s="314"/>
      <c r="CF28" s="314"/>
      <c r="CG28" s="314"/>
      <c r="CH28" s="314"/>
      <c r="CI28" s="314"/>
      <c r="CJ28" s="314"/>
      <c r="CK28" s="314"/>
      <c r="CL28" s="314"/>
      <c r="CM28" s="314"/>
      <c r="CN28" s="314"/>
      <c r="CO28" s="314"/>
      <c r="CP28" s="314"/>
      <c r="CQ28" s="314"/>
      <c r="CR28" s="314"/>
      <c r="CS28" s="314"/>
      <c r="CT28" s="314"/>
      <c r="CU28" s="314"/>
      <c r="CV28" s="314"/>
      <c r="CW28" s="314"/>
      <c r="CX28" s="314"/>
      <c r="CY28" s="314"/>
      <c r="CZ28" s="133"/>
      <c r="DA28" s="133"/>
      <c r="DB28" s="133"/>
      <c r="DC28" s="133"/>
      <c r="DD28" s="133"/>
      <c r="DE28" s="133"/>
      <c r="DF28" s="133"/>
      <c r="DG28" s="93"/>
      <c r="DH28" s="323" t="s">
        <v>287</v>
      </c>
      <c r="DI28" s="323"/>
      <c r="DJ28" s="323"/>
      <c r="DK28" s="323"/>
      <c r="DL28" s="323"/>
      <c r="DM28" s="323"/>
      <c r="DN28" s="323"/>
      <c r="DO28" s="323"/>
      <c r="DP28" s="323"/>
      <c r="DQ28" s="323"/>
      <c r="DR28" s="323"/>
      <c r="DS28" s="323"/>
      <c r="DT28" s="323"/>
      <c r="DU28" s="323"/>
      <c r="DV28" s="323"/>
      <c r="DW28" s="323"/>
      <c r="DX28" s="323"/>
      <c r="DY28" s="323"/>
      <c r="DZ28" s="323"/>
      <c r="EA28" s="323"/>
      <c r="EB28" s="323"/>
      <c r="EC28" s="323"/>
      <c r="ED28" s="323"/>
      <c r="EE28" s="323"/>
      <c r="EF28" s="323"/>
      <c r="EG28" s="323"/>
      <c r="EH28" s="323"/>
      <c r="EI28" s="323"/>
      <c r="EJ28" s="323"/>
      <c r="EK28" s="323"/>
      <c r="EL28" s="323"/>
      <c r="EM28" s="323"/>
      <c r="EN28" s="323"/>
      <c r="EO28" s="323"/>
      <c r="EP28" s="323"/>
      <c r="EQ28" s="323"/>
      <c r="ER28" s="323"/>
      <c r="ES28" s="323"/>
      <c r="ET28" s="323"/>
      <c r="EV28" s="286"/>
      <c r="EW28" s="309"/>
      <c r="EX28" s="309"/>
      <c r="EY28" s="309"/>
      <c r="EZ28" s="309"/>
      <c r="FA28" s="309"/>
      <c r="FB28" s="309"/>
      <c r="FC28" s="309"/>
      <c r="FD28" s="309"/>
      <c r="FE28" s="309"/>
      <c r="FF28" s="309"/>
      <c r="FG28" s="309"/>
      <c r="FH28" s="309"/>
      <c r="FI28" s="309"/>
      <c r="FJ28" s="309"/>
      <c r="FK28" s="309"/>
      <c r="FL28" s="309"/>
      <c r="FM28" s="309"/>
      <c r="FN28" s="309"/>
      <c r="FO28" s="309"/>
      <c r="FP28" s="309"/>
      <c r="FQ28" s="287"/>
      <c r="FR28" s="123"/>
      <c r="FS28" s="123"/>
    </row>
    <row r="29" spans="1:175" s="2" customFormat="1" ht="14.25" customHeight="1">
      <c r="A29" s="95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J29" s="95"/>
      <c r="FJ29" s="94"/>
      <c r="FK29" s="94"/>
      <c r="FL29" s="94"/>
      <c r="FM29" s="94"/>
      <c r="FN29" s="94"/>
      <c r="FO29" s="94"/>
      <c r="FP29" s="94"/>
      <c r="FQ29" s="94"/>
      <c r="FR29" s="123"/>
      <c r="FS29" s="123"/>
    </row>
    <row r="30" spans="1:175" s="2" customFormat="1" ht="14.25" customHeight="1">
      <c r="A30" s="95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J30" s="95"/>
      <c r="FJ30" s="94"/>
      <c r="FK30" s="94"/>
      <c r="FL30" s="94"/>
      <c r="FM30" s="94"/>
      <c r="FN30" s="94"/>
      <c r="FO30" s="94"/>
      <c r="FP30" s="94"/>
      <c r="FQ30" s="94"/>
      <c r="FR30" s="123"/>
      <c r="FS30" s="123"/>
    </row>
    <row r="31" spans="174:175" s="2" customFormat="1" ht="15">
      <c r="FR31" s="123"/>
      <c r="FS31" s="123"/>
    </row>
  </sheetData>
  <mergeCells count="41">
    <mergeCell ref="EG19:ET19"/>
    <mergeCell ref="EV24:FQ24"/>
    <mergeCell ref="DH28:ET28"/>
    <mergeCell ref="DH25:ET25"/>
    <mergeCell ref="DH24:ET24"/>
    <mergeCell ref="EV26:FQ28"/>
    <mergeCell ref="DH26:ET26"/>
    <mergeCell ref="DH27:ET27"/>
    <mergeCell ref="EV25:FQ25"/>
    <mergeCell ref="DH23:ET23"/>
    <mergeCell ref="EV18:FQ18"/>
    <mergeCell ref="EV19:FQ19"/>
    <mergeCell ref="EV20:FQ20"/>
    <mergeCell ref="EV21:FQ21"/>
    <mergeCell ref="EV22:FQ22"/>
    <mergeCell ref="EV23:FQ23"/>
    <mergeCell ref="DH22:ET22"/>
    <mergeCell ref="DH21:ET21"/>
    <mergeCell ref="DM20:ET20"/>
    <mergeCell ref="AA25:CY25"/>
    <mergeCell ref="AA27:CY28"/>
    <mergeCell ref="AA20:CY23"/>
    <mergeCell ref="W15:CY18"/>
    <mergeCell ref="BQ13:BT13"/>
    <mergeCell ref="BX13:CO13"/>
    <mergeCell ref="CP13:CS13"/>
    <mergeCell ref="CT13:CW13"/>
    <mergeCell ref="DN8:ED8"/>
    <mergeCell ref="EG8:EU8"/>
    <mergeCell ref="EX8:FP8"/>
    <mergeCell ref="A10:FQ10"/>
    <mergeCell ref="DN4:EL4"/>
    <mergeCell ref="DN5:FP5"/>
    <mergeCell ref="DN6:FP6"/>
    <mergeCell ref="DN7:ED7"/>
    <mergeCell ref="EG7:EU7"/>
    <mergeCell ref="EX7:FP7"/>
    <mergeCell ref="ES1:EV1"/>
    <mergeCell ref="EZ1:FQ1"/>
    <mergeCell ref="DN2:FP2"/>
    <mergeCell ref="DN3:EB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P1250"/>
  <sheetViews>
    <sheetView view="pageBreakPreview" zoomScaleSheetLayoutView="100" zoomScalePageLayoutView="0" workbookViewId="0" topLeftCell="A1">
      <selection activeCell="A26" sqref="A26:IV26"/>
    </sheetView>
  </sheetViews>
  <sheetFormatPr defaultColWidth="9.00390625" defaultRowHeight="12.75"/>
  <cols>
    <col min="1" max="1" width="14.00390625" style="3" customWidth="1"/>
    <col min="2" max="2" width="41.75390625" style="3" customWidth="1"/>
    <col min="3" max="3" width="24.125" style="3" customWidth="1"/>
    <col min="4" max="4" width="15.75390625" style="3" customWidth="1"/>
    <col min="5" max="5" width="13.625" style="3" customWidth="1"/>
    <col min="6" max="6" width="9.125" style="3" customWidth="1"/>
    <col min="7" max="7" width="10.00390625" style="3" bestFit="1" customWidth="1"/>
    <col min="8" max="8" width="12.75390625" style="29" customWidth="1"/>
    <col min="9" max="9" width="15.75390625" style="29" customWidth="1"/>
    <col min="10" max="16384" width="9.125" style="3" customWidth="1"/>
  </cols>
  <sheetData>
    <row r="1" ht="15">
      <c r="D1" s="14"/>
    </row>
    <row r="2" ht="15">
      <c r="D2" s="14"/>
    </row>
    <row r="3" spans="1:9" s="76" customFormat="1" ht="14.25">
      <c r="A3" s="365" t="s">
        <v>424</v>
      </c>
      <c r="B3" s="365"/>
      <c r="C3" s="365"/>
      <c r="D3" s="365"/>
      <c r="H3" s="194"/>
      <c r="I3" s="194"/>
    </row>
    <row r="4" spans="1:9" s="76" customFormat="1" ht="14.25">
      <c r="A4" s="365" t="s">
        <v>116</v>
      </c>
      <c r="B4" s="365"/>
      <c r="C4" s="365"/>
      <c r="D4" s="365"/>
      <c r="H4" s="194"/>
      <c r="I4" s="194"/>
    </row>
    <row r="5" spans="1:9" s="76" customFormat="1" ht="14.25">
      <c r="A5" s="365" t="s">
        <v>117</v>
      </c>
      <c r="B5" s="365"/>
      <c r="C5" s="365"/>
      <c r="D5" s="365"/>
      <c r="H5" s="194"/>
      <c r="I5" s="194"/>
    </row>
    <row r="6" spans="1:9" s="76" customFormat="1" ht="14.25">
      <c r="A6" s="365" t="s">
        <v>118</v>
      </c>
      <c r="B6" s="365"/>
      <c r="C6" s="365"/>
      <c r="D6" s="365"/>
      <c r="H6" s="194"/>
      <c r="I6" s="194"/>
    </row>
    <row r="7" spans="1:4" ht="15">
      <c r="A7" s="6"/>
      <c r="B7" s="6"/>
      <c r="C7" s="6"/>
      <c r="D7" s="6"/>
    </row>
    <row r="8" spans="1:13" ht="15">
      <c r="A8" s="362" t="s">
        <v>400</v>
      </c>
      <c r="B8" s="362"/>
      <c r="C8" s="362"/>
      <c r="D8" s="362"/>
      <c r="E8" s="362"/>
      <c r="F8" s="362"/>
      <c r="G8" s="162"/>
      <c r="H8" s="162"/>
      <c r="I8" s="162"/>
      <c r="J8" s="162"/>
      <c r="K8" s="69"/>
      <c r="M8" s="5"/>
    </row>
    <row r="9" spans="1:13" s="12" customFormat="1" ht="40.5" customHeight="1">
      <c r="A9" s="363" t="s">
        <v>347</v>
      </c>
      <c r="B9" s="363"/>
      <c r="C9" s="363"/>
      <c r="D9" s="363"/>
      <c r="E9" s="161"/>
      <c r="F9" s="161"/>
      <c r="G9" s="161"/>
      <c r="H9" s="161"/>
      <c r="I9" s="161"/>
      <c r="J9" s="161"/>
      <c r="K9" s="70"/>
      <c r="M9" s="13"/>
    </row>
    <row r="10" ht="15">
      <c r="A10" s="4"/>
    </row>
    <row r="11" spans="1:4" ht="45">
      <c r="A11" s="9" t="s">
        <v>40</v>
      </c>
      <c r="B11" s="9" t="s">
        <v>55</v>
      </c>
      <c r="C11" s="9" t="s">
        <v>56</v>
      </c>
      <c r="D11" s="9" t="s">
        <v>57</v>
      </c>
    </row>
    <row r="12" spans="1:9" s="25" customFormat="1" ht="17.25" customHeight="1">
      <c r="A12" s="24">
        <v>1</v>
      </c>
      <c r="B12" s="24">
        <v>2</v>
      </c>
      <c r="C12" s="24">
        <v>3</v>
      </c>
      <c r="D12" s="24">
        <v>4</v>
      </c>
      <c r="H12" s="49"/>
      <c r="I12" s="49"/>
    </row>
    <row r="13" spans="1:9" ht="33.75" customHeight="1">
      <c r="A13" s="15">
        <v>1</v>
      </c>
      <c r="B13" s="11" t="s">
        <v>58</v>
      </c>
      <c r="C13" s="19" t="s">
        <v>50</v>
      </c>
      <c r="D13" s="19"/>
      <c r="E13" s="5"/>
      <c r="F13" s="5"/>
      <c r="G13" s="5"/>
      <c r="H13" s="7"/>
      <c r="I13" s="7"/>
    </row>
    <row r="14" spans="1:9" ht="15">
      <c r="A14" s="367" t="s">
        <v>59</v>
      </c>
      <c r="B14" s="39" t="s">
        <v>8</v>
      </c>
      <c r="C14" s="368">
        <f>'Р 1.1'!J21</f>
        <v>12394200</v>
      </c>
      <c r="D14" s="368">
        <f>C14*0.22</f>
        <v>2726724</v>
      </c>
      <c r="E14" s="5"/>
      <c r="F14" s="5"/>
      <c r="G14" s="5"/>
      <c r="H14" s="7"/>
      <c r="I14" s="7"/>
    </row>
    <row r="15" spans="1:9" ht="15">
      <c r="A15" s="367"/>
      <c r="B15" s="39" t="s">
        <v>60</v>
      </c>
      <c r="C15" s="368"/>
      <c r="D15" s="368"/>
      <c r="E15" s="5"/>
      <c r="F15" s="5"/>
      <c r="G15" s="5"/>
      <c r="H15" s="7"/>
      <c r="I15" s="7"/>
    </row>
    <row r="16" spans="1:9" ht="19.5" customHeight="1">
      <c r="A16" s="15" t="s">
        <v>61</v>
      </c>
      <c r="B16" s="40" t="s">
        <v>62</v>
      </c>
      <c r="C16" s="19"/>
      <c r="D16" s="19"/>
      <c r="E16" s="5"/>
      <c r="F16" s="5"/>
      <c r="G16" s="5"/>
      <c r="H16" s="7"/>
      <c r="I16" s="7"/>
    </row>
    <row r="17" spans="1:9" ht="46.5" customHeight="1">
      <c r="A17" s="15" t="s">
        <v>63</v>
      </c>
      <c r="B17" s="11" t="s">
        <v>64</v>
      </c>
      <c r="C17" s="19"/>
      <c r="D17" s="19"/>
      <c r="E17" s="5"/>
      <c r="F17" s="5"/>
      <c r="G17" s="5"/>
      <c r="H17" s="7"/>
      <c r="I17" s="7"/>
    </row>
    <row r="18" spans="1:9" ht="33" customHeight="1">
      <c r="A18" s="15">
        <v>2</v>
      </c>
      <c r="B18" s="11" t="s">
        <v>65</v>
      </c>
      <c r="C18" s="19" t="s">
        <v>50</v>
      </c>
      <c r="D18" s="19"/>
      <c r="E18" s="5"/>
      <c r="F18" s="5"/>
      <c r="G18" s="5"/>
      <c r="H18" s="7"/>
      <c r="I18" s="7"/>
    </row>
    <row r="19" spans="1:9" ht="20.25" customHeight="1">
      <c r="A19" s="367" t="s">
        <v>66</v>
      </c>
      <c r="B19" s="40" t="s">
        <v>8</v>
      </c>
      <c r="C19" s="368">
        <f>C14</f>
        <v>12394200</v>
      </c>
      <c r="D19" s="368">
        <f>ROUND(C19*0.029,0)</f>
        <v>359432</v>
      </c>
      <c r="E19" s="5"/>
      <c r="F19" s="5"/>
      <c r="G19" s="5"/>
      <c r="H19" s="7"/>
      <c r="I19" s="7"/>
    </row>
    <row r="20" spans="1:9" ht="46.5" customHeight="1">
      <c r="A20" s="367"/>
      <c r="B20" s="11" t="s">
        <v>67</v>
      </c>
      <c r="C20" s="368"/>
      <c r="D20" s="368"/>
      <c r="E20" s="5"/>
      <c r="F20" s="5"/>
      <c r="G20" s="5"/>
      <c r="H20" s="7"/>
      <c r="I20" s="7"/>
    </row>
    <row r="21" spans="1:9" ht="47.25" customHeight="1">
      <c r="A21" s="15" t="s">
        <v>68</v>
      </c>
      <c r="B21" s="11" t="s">
        <v>69</v>
      </c>
      <c r="C21" s="19"/>
      <c r="D21" s="19"/>
      <c r="E21" s="5"/>
      <c r="F21" s="5"/>
      <c r="G21" s="5"/>
      <c r="H21" s="7"/>
      <c r="I21" s="7"/>
    </row>
    <row r="22" spans="1:9" ht="64.5" customHeight="1">
      <c r="A22" s="15" t="s">
        <v>70</v>
      </c>
      <c r="B22" s="11" t="s">
        <v>71</v>
      </c>
      <c r="C22" s="19">
        <f>C19</f>
        <v>12394200</v>
      </c>
      <c r="D22" s="19">
        <f>ROUND(C22*0.002,0)</f>
        <v>24788</v>
      </c>
      <c r="E22" s="5"/>
      <c r="F22" s="5"/>
      <c r="G22" s="5"/>
      <c r="H22" s="7"/>
      <c r="I22" s="7"/>
    </row>
    <row r="23" spans="1:9" ht="65.25" customHeight="1">
      <c r="A23" s="15" t="s">
        <v>72</v>
      </c>
      <c r="B23" s="50" t="s">
        <v>73</v>
      </c>
      <c r="C23" s="19"/>
      <c r="D23" s="19"/>
      <c r="E23" s="5"/>
      <c r="F23" s="5"/>
      <c r="G23" s="5"/>
      <c r="H23" s="7"/>
      <c r="I23" s="7"/>
    </row>
    <row r="24" spans="1:9" ht="63.75" customHeight="1">
      <c r="A24" s="15" t="s">
        <v>74</v>
      </c>
      <c r="B24" s="50" t="s">
        <v>73</v>
      </c>
      <c r="C24" s="19"/>
      <c r="D24" s="19"/>
      <c r="E24" s="5"/>
      <c r="F24" s="5"/>
      <c r="G24" s="5"/>
      <c r="H24" s="7"/>
      <c r="I24" s="7"/>
    </row>
    <row r="25" spans="1:9" ht="45.75" customHeight="1">
      <c r="A25" s="15">
        <v>3</v>
      </c>
      <c r="B25" s="11" t="s">
        <v>75</v>
      </c>
      <c r="C25" s="19">
        <f>C19</f>
        <v>12394200</v>
      </c>
      <c r="D25" s="19">
        <f>ROUND(C25*0.051,0)-48</f>
        <v>632056</v>
      </c>
      <c r="E25" s="5"/>
      <c r="F25" s="5"/>
      <c r="G25" s="5"/>
      <c r="H25" s="7"/>
      <c r="I25" s="7"/>
    </row>
    <row r="26" spans="1:9" s="76" customFormat="1" ht="14.25">
      <c r="A26" s="195"/>
      <c r="B26" s="196" t="s">
        <v>49</v>
      </c>
      <c r="C26" s="21" t="s">
        <v>50</v>
      </c>
      <c r="D26" s="21">
        <f>D14+D19+D22+D25</f>
        <v>3743000</v>
      </c>
      <c r="E26" s="75"/>
      <c r="F26" s="75"/>
      <c r="G26" s="75"/>
      <c r="H26" s="197"/>
      <c r="I26" s="197"/>
    </row>
    <row r="27" spans="3:9" ht="15">
      <c r="C27" s="5"/>
      <c r="D27" s="5"/>
      <c r="E27" s="5"/>
      <c r="F27" s="5"/>
      <c r="G27" s="5"/>
      <c r="H27" s="7"/>
      <c r="I27" s="7"/>
    </row>
    <row r="28" spans="3:9" ht="15">
      <c r="C28" s="5"/>
      <c r="D28" s="5"/>
      <c r="E28" s="5"/>
      <c r="F28" s="5"/>
      <c r="G28" s="5"/>
      <c r="H28" s="7"/>
      <c r="I28" s="7"/>
    </row>
    <row r="29" spans="3:9" ht="15">
      <c r="C29" s="68">
        <v>211</v>
      </c>
      <c r="D29" s="68">
        <v>213</v>
      </c>
      <c r="E29" s="5"/>
      <c r="F29" s="5"/>
      <c r="G29" s="5"/>
      <c r="H29" s="7"/>
      <c r="I29" s="7"/>
    </row>
    <row r="30" spans="2:9" ht="15">
      <c r="B30" s="67" t="s">
        <v>7</v>
      </c>
      <c r="C30" s="64">
        <f>C25</f>
        <v>12394200</v>
      </c>
      <c r="D30" s="64">
        <f>E30-C30</f>
        <v>3743000</v>
      </c>
      <c r="E30" s="5">
        <f>9904800+3026600+2462200+743600</f>
        <v>16137200</v>
      </c>
      <c r="F30" s="8"/>
      <c r="G30" s="8"/>
      <c r="H30" s="30"/>
      <c r="I30" s="7"/>
    </row>
    <row r="31" spans="3:9" ht="15">
      <c r="C31" s="8"/>
      <c r="D31" s="64">
        <f>D30-D26</f>
        <v>0</v>
      </c>
      <c r="E31" s="5"/>
      <c r="F31" s="8"/>
      <c r="G31" s="8"/>
      <c r="H31" s="30"/>
      <c r="I31" s="7"/>
    </row>
    <row r="32" spans="3:9" ht="15">
      <c r="C32" s="68">
        <v>211</v>
      </c>
      <c r="D32" s="68">
        <v>213</v>
      </c>
      <c r="E32" s="5"/>
      <c r="F32" s="5"/>
      <c r="G32" s="5"/>
      <c r="H32" s="7"/>
      <c r="I32" s="7"/>
    </row>
    <row r="33" spans="3:9" ht="15">
      <c r="C33" s="64">
        <v>22342995.76</v>
      </c>
      <c r="D33" s="64" t="e">
        <f>#REF!</f>
        <v>#REF!</v>
      </c>
      <c r="E33" s="5"/>
      <c r="F33" s="5"/>
      <c r="G33" s="5"/>
      <c r="H33" s="7"/>
      <c r="I33" s="7"/>
    </row>
    <row r="34" spans="3:9" ht="15">
      <c r="C34" s="8"/>
      <c r="D34" s="64" t="e">
        <f>D33-D29</f>
        <v>#REF!</v>
      </c>
      <c r="E34" s="5"/>
      <c r="F34" s="5"/>
      <c r="G34" s="5"/>
      <c r="H34" s="7"/>
      <c r="I34" s="7"/>
    </row>
    <row r="35" spans="3:9" ht="15">
      <c r="C35" s="5">
        <f>C33/12</f>
        <v>1861916.3133333335</v>
      </c>
      <c r="D35" s="5"/>
      <c r="E35" s="5"/>
      <c r="F35" s="5"/>
      <c r="G35" s="5"/>
      <c r="H35" s="7"/>
      <c r="I35" s="7"/>
    </row>
    <row r="36" spans="3:9" ht="15">
      <c r="C36" s="5"/>
      <c r="D36" s="5"/>
      <c r="E36" s="5"/>
      <c r="F36" s="5"/>
      <c r="G36" s="5"/>
      <c r="H36" s="7"/>
      <c r="I36" s="7"/>
    </row>
    <row r="37" spans="3:9" ht="15">
      <c r="C37" s="5"/>
      <c r="D37" s="5"/>
      <c r="E37" s="5"/>
      <c r="F37" s="5"/>
      <c r="G37" s="5"/>
      <c r="H37" s="7"/>
      <c r="I37" s="7"/>
    </row>
    <row r="38" spans="3:9" ht="15">
      <c r="C38" s="5"/>
      <c r="D38" s="5"/>
      <c r="E38" s="5"/>
      <c r="F38" s="5"/>
      <c r="G38" s="5"/>
      <c r="H38" s="7"/>
      <c r="I38" s="7"/>
    </row>
    <row r="39" spans="3:9" ht="15">
      <c r="C39" s="5"/>
      <c r="D39" s="5"/>
      <c r="E39" s="5"/>
      <c r="F39" s="5"/>
      <c r="G39" s="5"/>
      <c r="H39" s="7"/>
      <c r="I39" s="7"/>
    </row>
    <row r="40" spans="3:9" ht="15">
      <c r="C40" s="5"/>
      <c r="D40" s="5"/>
      <c r="E40" s="5"/>
      <c r="F40" s="5"/>
      <c r="G40" s="5"/>
      <c r="H40" s="7"/>
      <c r="I40" s="7"/>
    </row>
    <row r="1250" ht="12.75"/>
  </sheetData>
  <sheetProtection/>
  <mergeCells count="12">
    <mergeCell ref="A8:F8"/>
    <mergeCell ref="A9:D9"/>
    <mergeCell ref="A19:A20"/>
    <mergeCell ref="C19:C20"/>
    <mergeCell ref="D19:D20"/>
    <mergeCell ref="A14:A15"/>
    <mergeCell ref="C14:C15"/>
    <mergeCell ref="D14:D15"/>
    <mergeCell ref="A3:D3"/>
    <mergeCell ref="A4:D4"/>
    <mergeCell ref="A5:D5"/>
    <mergeCell ref="A6:D6"/>
  </mergeCells>
  <hyperlinks>
    <hyperlink ref="B23" location="P1250" display="P1250"/>
    <hyperlink ref="B24" location="P1250" display="P1250"/>
  </hyperlink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40"/>
  <sheetViews>
    <sheetView view="pageBreakPreview" zoomScaleSheetLayoutView="100" zoomScalePageLayoutView="0" workbookViewId="0" topLeftCell="A1">
      <selection activeCell="H40" sqref="H40"/>
    </sheetView>
  </sheetViews>
  <sheetFormatPr defaultColWidth="9.00390625" defaultRowHeight="12.75"/>
  <cols>
    <col min="1" max="1" width="9.125" style="2" customWidth="1"/>
    <col min="2" max="2" width="27.25390625" style="2" customWidth="1"/>
    <col min="3" max="3" width="15.25390625" style="2" customWidth="1"/>
    <col min="4" max="4" width="15.625" style="2" customWidth="1"/>
    <col min="5" max="5" width="18.625" style="2" customWidth="1"/>
    <col min="6" max="6" width="13.875" style="2" customWidth="1"/>
    <col min="7" max="16384" width="9.125" style="2" customWidth="1"/>
  </cols>
  <sheetData>
    <row r="1" spans="1:5" ht="15">
      <c r="A1" s="1"/>
      <c r="B1" s="1"/>
      <c r="C1" s="1"/>
      <c r="D1" s="1"/>
      <c r="E1" s="14"/>
    </row>
    <row r="2" spans="1:6" s="3" customFormat="1" ht="15" customHeight="1">
      <c r="A2" s="374" t="s">
        <v>425</v>
      </c>
      <c r="B2" s="374"/>
      <c r="C2" s="374"/>
      <c r="D2" s="374"/>
      <c r="E2" s="374"/>
      <c r="F2" s="374"/>
    </row>
    <row r="3" spans="1:5" ht="15">
      <c r="A3" s="375"/>
      <c r="B3" s="375"/>
      <c r="C3" s="375"/>
      <c r="D3" s="375"/>
      <c r="E3" s="375"/>
    </row>
    <row r="4" spans="1:5" ht="15">
      <c r="A4" s="371" t="s">
        <v>401</v>
      </c>
      <c r="B4" s="371"/>
      <c r="C4" s="371"/>
      <c r="D4" s="371"/>
      <c r="E4" s="371"/>
    </row>
    <row r="5" spans="1:5" ht="31.5" customHeight="1">
      <c r="A5" s="371" t="s">
        <v>347</v>
      </c>
      <c r="B5" s="371"/>
      <c r="C5" s="371"/>
      <c r="D5" s="371"/>
      <c r="E5" s="371"/>
    </row>
    <row r="6" spans="1:5" ht="15">
      <c r="A6" s="1"/>
      <c r="B6" s="1"/>
      <c r="C6" s="1"/>
      <c r="D6" s="1"/>
      <c r="E6" s="1"/>
    </row>
    <row r="7" spans="1:6" ht="60" customHeight="1">
      <c r="A7" s="16" t="s">
        <v>40</v>
      </c>
      <c r="B7" s="16" t="s">
        <v>51</v>
      </c>
      <c r="C7" s="16" t="s">
        <v>52</v>
      </c>
      <c r="D7" s="16" t="s">
        <v>53</v>
      </c>
      <c r="E7" s="377" t="s">
        <v>54</v>
      </c>
      <c r="F7" s="377"/>
    </row>
    <row r="8" spans="1:6" ht="15">
      <c r="A8" s="18">
        <v>1</v>
      </c>
      <c r="B8" s="18">
        <v>2</v>
      </c>
      <c r="C8" s="18">
        <v>3</v>
      </c>
      <c r="D8" s="18">
        <v>4</v>
      </c>
      <c r="E8" s="378">
        <v>5</v>
      </c>
      <c r="F8" s="378"/>
    </row>
    <row r="9" spans="1:6" ht="15">
      <c r="A9" s="16">
        <v>1</v>
      </c>
      <c r="B9" s="16" t="s">
        <v>76</v>
      </c>
      <c r="C9" s="31">
        <f>E9/D9*100</f>
        <v>131860454.54545455</v>
      </c>
      <c r="D9" s="31">
        <v>2.2</v>
      </c>
      <c r="E9" s="369">
        <v>2900930</v>
      </c>
      <c r="F9" s="369"/>
    </row>
    <row r="10" spans="1:6" ht="15">
      <c r="A10" s="16">
        <v>2</v>
      </c>
      <c r="B10" s="16" t="s">
        <v>360</v>
      </c>
      <c r="C10" s="31">
        <f>E10/D10*100</f>
        <v>39558000</v>
      </c>
      <c r="D10" s="31">
        <v>1.5</v>
      </c>
      <c r="E10" s="369">
        <v>593370</v>
      </c>
      <c r="F10" s="369"/>
    </row>
    <row r="11" spans="1:6" ht="30">
      <c r="A11" s="16">
        <v>3</v>
      </c>
      <c r="B11" s="16" t="s">
        <v>361</v>
      </c>
      <c r="C11" s="31">
        <v>30900</v>
      </c>
      <c r="D11" s="31">
        <v>1</v>
      </c>
      <c r="E11" s="369">
        <v>24600</v>
      </c>
      <c r="F11" s="369"/>
    </row>
    <row r="12" spans="1:6" ht="30">
      <c r="A12" s="16">
        <v>4</v>
      </c>
      <c r="B12" s="16" t="s">
        <v>266</v>
      </c>
      <c r="C12" s="31">
        <v>10000</v>
      </c>
      <c r="D12" s="31">
        <v>1</v>
      </c>
      <c r="E12" s="369">
        <f>C12</f>
        <v>10000</v>
      </c>
      <c r="F12" s="369"/>
    </row>
    <row r="13" spans="1:6" ht="15">
      <c r="A13" s="17"/>
      <c r="B13" s="17" t="s">
        <v>49</v>
      </c>
      <c r="C13" s="41" t="s">
        <v>50</v>
      </c>
      <c r="D13" s="41" t="s">
        <v>50</v>
      </c>
      <c r="E13" s="376">
        <f>E9+E10+E11+E12</f>
        <v>3528900</v>
      </c>
      <c r="F13" s="376"/>
    </row>
    <row r="15" spans="2:5" ht="15">
      <c r="B15" s="373" t="s">
        <v>426</v>
      </c>
      <c r="C15" s="373"/>
      <c r="D15" s="373"/>
      <c r="E15" s="373"/>
    </row>
    <row r="16" s="186" customFormat="1" ht="15">
      <c r="F16" s="198"/>
    </row>
    <row r="17" spans="1:6" s="186" customFormat="1" ht="15">
      <c r="A17" s="372" t="s">
        <v>427</v>
      </c>
      <c r="B17" s="372"/>
      <c r="C17" s="372"/>
      <c r="D17" s="372"/>
      <c r="E17" s="372"/>
      <c r="F17" s="372"/>
    </row>
    <row r="18" spans="1:6" s="32" customFormat="1" ht="15">
      <c r="A18" s="157"/>
      <c r="B18" s="157"/>
      <c r="C18" s="157"/>
      <c r="D18" s="157"/>
      <c r="E18" s="157"/>
      <c r="F18" s="157"/>
    </row>
    <row r="19" spans="1:5" s="77" customFormat="1" ht="18" customHeight="1">
      <c r="A19" s="371" t="s">
        <v>402</v>
      </c>
      <c r="B19" s="371"/>
      <c r="C19" s="371"/>
      <c r="D19" s="371"/>
      <c r="E19" s="371"/>
    </row>
    <row r="20" spans="1:6" s="77" customFormat="1" ht="35.25" customHeight="1">
      <c r="A20" s="371" t="s">
        <v>347</v>
      </c>
      <c r="B20" s="371"/>
      <c r="C20" s="371"/>
      <c r="D20" s="371"/>
      <c r="E20" s="371"/>
      <c r="F20" s="371"/>
    </row>
    <row r="21" s="32" customFormat="1" ht="15">
      <c r="A21" s="38"/>
    </row>
    <row r="22" spans="1:6" s="43" customFormat="1" ht="69.75" customHeight="1">
      <c r="A22" s="42" t="s">
        <v>40</v>
      </c>
      <c r="B22" s="42" t="s">
        <v>51</v>
      </c>
      <c r="C22" s="42" t="s">
        <v>80</v>
      </c>
      <c r="D22" s="42" t="s">
        <v>81</v>
      </c>
      <c r="E22" s="42" t="s">
        <v>82</v>
      </c>
      <c r="F22" s="42" t="s">
        <v>83</v>
      </c>
    </row>
    <row r="23" spans="1:6" s="47" customFormat="1" ht="14.25" customHeight="1">
      <c r="A23" s="46">
        <v>1</v>
      </c>
      <c r="B23" s="46">
        <v>2</v>
      </c>
      <c r="C23" s="46">
        <v>3</v>
      </c>
      <c r="D23" s="46">
        <v>4</v>
      </c>
      <c r="E23" s="46">
        <v>5</v>
      </c>
      <c r="F23" s="46">
        <v>6</v>
      </c>
    </row>
    <row r="24" spans="1:8" s="32" customFormat="1" ht="25.5" customHeight="1">
      <c r="A24" s="35">
        <v>1</v>
      </c>
      <c r="B24" s="112" t="s">
        <v>164</v>
      </c>
      <c r="C24" s="35">
        <v>1</v>
      </c>
      <c r="D24" s="35">
        <v>12</v>
      </c>
      <c r="E24" s="109">
        <f>(F24/D24)/C24</f>
        <v>1208.3333333333333</v>
      </c>
      <c r="F24" s="109">
        <v>14500</v>
      </c>
      <c r="G24" s="36"/>
      <c r="H24" s="36"/>
    </row>
    <row r="25" spans="1:8" s="32" customFormat="1" ht="37.5" customHeight="1">
      <c r="A25" s="35">
        <v>2</v>
      </c>
      <c r="B25" s="111" t="s">
        <v>165</v>
      </c>
      <c r="C25" s="35">
        <v>1</v>
      </c>
      <c r="D25" s="35">
        <v>12</v>
      </c>
      <c r="E25" s="109">
        <v>1000</v>
      </c>
      <c r="F25" s="109">
        <f>E25*D25</f>
        <v>12000</v>
      </c>
      <c r="G25" s="36"/>
      <c r="H25" s="36"/>
    </row>
    <row r="26" spans="1:8" s="32" customFormat="1" ht="15">
      <c r="A26" s="153"/>
      <c r="B26" s="154" t="s">
        <v>49</v>
      </c>
      <c r="C26" s="153" t="s">
        <v>50</v>
      </c>
      <c r="D26" s="153" t="s">
        <v>50</v>
      </c>
      <c r="E26" s="153" t="s">
        <v>50</v>
      </c>
      <c r="F26" s="37">
        <f>SUM(F24:F25)</f>
        <v>26500</v>
      </c>
      <c r="G26" s="36"/>
      <c r="H26" s="36"/>
    </row>
    <row r="27" spans="6:8" s="32" customFormat="1" ht="15">
      <c r="F27" s="36"/>
      <c r="G27" s="36"/>
      <c r="H27" s="36"/>
    </row>
    <row r="28" spans="6:8" s="32" customFormat="1" ht="15">
      <c r="F28" s="33"/>
      <c r="G28" s="36"/>
      <c r="H28" s="36"/>
    </row>
    <row r="29" spans="1:8" s="32" customFormat="1" ht="15">
      <c r="A29" s="370" t="s">
        <v>428</v>
      </c>
      <c r="B29" s="370"/>
      <c r="C29" s="370"/>
      <c r="D29" s="370"/>
      <c r="E29" s="370"/>
      <c r="F29" s="370"/>
      <c r="G29" s="36"/>
      <c r="H29" s="36"/>
    </row>
    <row r="30" spans="1:8" s="32" customFormat="1" ht="15">
      <c r="A30" s="157"/>
      <c r="B30" s="157"/>
      <c r="C30" s="157"/>
      <c r="D30" s="157"/>
      <c r="E30" s="157"/>
      <c r="F30" s="157"/>
      <c r="G30" s="36"/>
      <c r="H30" s="36"/>
    </row>
    <row r="31" spans="1:5" s="77" customFormat="1" ht="18" customHeight="1">
      <c r="A31" s="371" t="s">
        <v>402</v>
      </c>
      <c r="B31" s="371"/>
      <c r="C31" s="371"/>
      <c r="D31" s="371"/>
      <c r="E31" s="371"/>
    </row>
    <row r="32" spans="1:6" s="77" customFormat="1" ht="35.25" customHeight="1">
      <c r="A32" s="371" t="s">
        <v>347</v>
      </c>
      <c r="B32" s="371"/>
      <c r="C32" s="371"/>
      <c r="D32" s="371"/>
      <c r="E32" s="371"/>
      <c r="F32" s="371"/>
    </row>
    <row r="33" s="32" customFormat="1" ht="15"/>
    <row r="34" spans="1:6" s="32" customFormat="1" ht="45">
      <c r="A34" s="34" t="s">
        <v>40</v>
      </c>
      <c r="B34" s="34" t="s">
        <v>3</v>
      </c>
      <c r="C34" s="34" t="s">
        <v>84</v>
      </c>
      <c r="D34" s="34" t="s">
        <v>85</v>
      </c>
      <c r="E34" s="34" t="s">
        <v>86</v>
      </c>
      <c r="F34" s="34" t="s">
        <v>87</v>
      </c>
    </row>
    <row r="35" spans="1:6" s="32" customFormat="1" ht="15">
      <c r="A35" s="44">
        <v>1</v>
      </c>
      <c r="B35" s="44">
        <v>2</v>
      </c>
      <c r="C35" s="44">
        <v>4</v>
      </c>
      <c r="D35" s="44">
        <v>5</v>
      </c>
      <c r="E35" s="44">
        <v>6</v>
      </c>
      <c r="F35" s="44">
        <v>6</v>
      </c>
    </row>
    <row r="36" spans="1:6" s="32" customFormat="1" ht="15">
      <c r="A36" s="42">
        <v>1</v>
      </c>
      <c r="B36" s="149" t="s">
        <v>362</v>
      </c>
      <c r="C36" s="150">
        <v>73293.5719019218</v>
      </c>
      <c r="D36" s="151">
        <v>4.527</v>
      </c>
      <c r="E36" s="35">
        <v>0</v>
      </c>
      <c r="F36" s="152">
        <v>360800</v>
      </c>
    </row>
    <row r="37" spans="1:6" s="32" customFormat="1" ht="15">
      <c r="A37" s="42">
        <v>2</v>
      </c>
      <c r="B37" s="149" t="s">
        <v>363</v>
      </c>
      <c r="C37" s="150">
        <v>553.1402616928552</v>
      </c>
      <c r="D37" s="151">
        <v>1902.23</v>
      </c>
      <c r="E37" s="35">
        <v>0</v>
      </c>
      <c r="F37" s="152">
        <v>1342700</v>
      </c>
    </row>
    <row r="38" spans="1:6" s="32" customFormat="1" ht="15">
      <c r="A38" s="42">
        <v>3</v>
      </c>
      <c r="B38" s="149" t="s">
        <v>365</v>
      </c>
      <c r="C38" s="150">
        <v>12195.221564222995</v>
      </c>
      <c r="D38" s="151">
        <v>24.485</v>
      </c>
      <c r="E38" s="35">
        <v>0</v>
      </c>
      <c r="F38" s="152">
        <f>85200+488300</f>
        <v>573500</v>
      </c>
    </row>
    <row r="39" spans="1:6" s="32" customFormat="1" ht="15">
      <c r="A39" s="42">
        <v>4</v>
      </c>
      <c r="B39" s="149" t="s">
        <v>364</v>
      </c>
      <c r="C39" s="150">
        <v>3466.8721109399075</v>
      </c>
      <c r="D39" s="151">
        <v>19.47</v>
      </c>
      <c r="E39" s="35">
        <v>0</v>
      </c>
      <c r="F39" s="152">
        <v>102500</v>
      </c>
    </row>
    <row r="40" spans="1:6" s="32" customFormat="1" ht="15">
      <c r="A40" s="35"/>
      <c r="B40" s="154" t="s">
        <v>49</v>
      </c>
      <c r="C40" s="153" t="s">
        <v>50</v>
      </c>
      <c r="D40" s="153" t="s">
        <v>50</v>
      </c>
      <c r="E40" s="153" t="s">
        <v>50</v>
      </c>
      <c r="F40" s="37">
        <f>F36+F37+F39+F38</f>
        <v>2379500</v>
      </c>
    </row>
  </sheetData>
  <sheetProtection/>
  <mergeCells count="18">
    <mergeCell ref="E7:F7"/>
    <mergeCell ref="E8:F8"/>
    <mergeCell ref="A2:F2"/>
    <mergeCell ref="A3:E3"/>
    <mergeCell ref="A4:E4"/>
    <mergeCell ref="A5:E5"/>
    <mergeCell ref="A32:F32"/>
    <mergeCell ref="A17:F17"/>
    <mergeCell ref="A19:E19"/>
    <mergeCell ref="A20:F20"/>
    <mergeCell ref="E9:F9"/>
    <mergeCell ref="E10:F10"/>
    <mergeCell ref="A29:F29"/>
    <mergeCell ref="A31:E31"/>
    <mergeCell ref="B15:E15"/>
    <mergeCell ref="E11:F11"/>
    <mergeCell ref="E12:F12"/>
    <mergeCell ref="E13:F1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9.125" style="199" customWidth="1"/>
    <col min="2" max="2" width="31.25390625" style="199" customWidth="1"/>
    <col min="3" max="3" width="24.375" style="199" customWidth="1"/>
    <col min="4" max="5" width="17.625" style="199" customWidth="1"/>
    <col min="6" max="6" width="18.375" style="199" customWidth="1"/>
    <col min="7" max="7" width="10.125" style="199" bestFit="1" customWidth="1"/>
    <col min="8" max="16384" width="9.125" style="199" customWidth="1"/>
  </cols>
  <sheetData>
    <row r="1" ht="15">
      <c r="E1" s="200"/>
    </row>
    <row r="2" spans="1:5" s="114" customFormat="1" ht="14.25">
      <c r="A2" s="365" t="s">
        <v>429</v>
      </c>
      <c r="B2" s="365"/>
      <c r="C2" s="365"/>
      <c r="D2" s="365"/>
      <c r="E2" s="365"/>
    </row>
    <row r="3" spans="1:5" s="114" customFormat="1" ht="14.25">
      <c r="A3" s="365" t="s">
        <v>89</v>
      </c>
      <c r="B3" s="365"/>
      <c r="C3" s="365"/>
      <c r="D3" s="365"/>
      <c r="E3" s="365"/>
    </row>
    <row r="4" spans="1:5" ht="15">
      <c r="A4" s="201"/>
      <c r="B4" s="201"/>
      <c r="C4" s="201"/>
      <c r="D4" s="201"/>
      <c r="E4" s="201"/>
    </row>
    <row r="5" spans="1:5" s="202" customFormat="1" ht="18" customHeight="1">
      <c r="A5" s="381" t="s">
        <v>402</v>
      </c>
      <c r="B5" s="381"/>
      <c r="C5" s="381"/>
      <c r="D5" s="381"/>
      <c r="E5" s="381"/>
    </row>
    <row r="6" spans="1:6" s="202" customFormat="1" ht="35.25" customHeight="1">
      <c r="A6" s="381" t="s">
        <v>347</v>
      </c>
      <c r="B6" s="381"/>
      <c r="C6" s="381"/>
      <c r="D6" s="381"/>
      <c r="E6" s="381"/>
      <c r="F6" s="203"/>
    </row>
    <row r="7" ht="15">
      <c r="A7" s="204"/>
    </row>
    <row r="8" spans="1:5" s="205" customFormat="1" ht="54.75" customHeight="1">
      <c r="A8" s="171" t="s">
        <v>40</v>
      </c>
      <c r="B8" s="171" t="s">
        <v>51</v>
      </c>
      <c r="C8" s="171" t="s">
        <v>90</v>
      </c>
      <c r="D8" s="171" t="s">
        <v>91</v>
      </c>
      <c r="E8" s="171" t="s">
        <v>92</v>
      </c>
    </row>
    <row r="9" spans="1:5" s="207" customFormat="1" ht="12">
      <c r="A9" s="206">
        <v>1</v>
      </c>
      <c r="B9" s="206">
        <v>2</v>
      </c>
      <c r="C9" s="206">
        <v>3</v>
      </c>
      <c r="D9" s="206">
        <v>4</v>
      </c>
      <c r="E9" s="206">
        <v>5</v>
      </c>
    </row>
    <row r="10" spans="1:7" ht="25.5">
      <c r="A10" s="208">
        <v>1</v>
      </c>
      <c r="B10" s="209" t="s">
        <v>366</v>
      </c>
      <c r="C10" s="210" t="s">
        <v>418</v>
      </c>
      <c r="D10" s="211">
        <v>1</v>
      </c>
      <c r="E10" s="212">
        <v>8000</v>
      </c>
      <c r="F10" s="213"/>
      <c r="G10" s="213"/>
    </row>
    <row r="11" spans="1:7" ht="25.5">
      <c r="A11" s="208">
        <v>2</v>
      </c>
      <c r="B11" s="209" t="s">
        <v>367</v>
      </c>
      <c r="C11" s="210" t="s">
        <v>418</v>
      </c>
      <c r="D11" s="211">
        <v>1</v>
      </c>
      <c r="E11" s="212">
        <v>7000</v>
      </c>
      <c r="F11" s="213"/>
      <c r="G11" s="213"/>
    </row>
    <row r="12" spans="1:7" ht="25.5">
      <c r="A12" s="208">
        <v>3</v>
      </c>
      <c r="B12" s="209" t="s">
        <v>368</v>
      </c>
      <c r="C12" s="210" t="s">
        <v>418</v>
      </c>
      <c r="D12" s="211">
        <v>1</v>
      </c>
      <c r="E12" s="212">
        <v>14300</v>
      </c>
      <c r="F12" s="213"/>
      <c r="G12" s="213"/>
    </row>
    <row r="13" spans="1:7" ht="25.5">
      <c r="A13" s="208">
        <v>4</v>
      </c>
      <c r="B13" s="209" t="s">
        <v>369</v>
      </c>
      <c r="C13" s="210" t="s">
        <v>418</v>
      </c>
      <c r="D13" s="211">
        <v>1</v>
      </c>
      <c r="E13" s="212">
        <v>18000</v>
      </c>
      <c r="F13" s="213"/>
      <c r="G13" s="213"/>
    </row>
    <row r="14" spans="1:7" ht="25.5">
      <c r="A14" s="208">
        <v>5</v>
      </c>
      <c r="B14" s="209" t="s">
        <v>370</v>
      </c>
      <c r="C14" s="210" t="s">
        <v>418</v>
      </c>
      <c r="D14" s="211">
        <v>1</v>
      </c>
      <c r="E14" s="212">
        <v>13200</v>
      </c>
      <c r="F14" s="213"/>
      <c r="G14" s="213"/>
    </row>
    <row r="15" spans="1:7" ht="25.5">
      <c r="A15" s="208">
        <v>6</v>
      </c>
      <c r="B15" s="209" t="s">
        <v>371</v>
      </c>
      <c r="C15" s="210" t="s">
        <v>418</v>
      </c>
      <c r="D15" s="211">
        <v>1</v>
      </c>
      <c r="E15" s="212">
        <v>30000</v>
      </c>
      <c r="F15" s="213"/>
      <c r="G15" s="213"/>
    </row>
    <row r="16" spans="1:7" ht="25.5">
      <c r="A16" s="208"/>
      <c r="B16" s="209" t="s">
        <v>414</v>
      </c>
      <c r="C16" s="210" t="s">
        <v>418</v>
      </c>
      <c r="D16" s="211">
        <v>1</v>
      </c>
      <c r="E16" s="212">
        <v>20000</v>
      </c>
      <c r="F16" s="213"/>
      <c r="G16" s="213"/>
    </row>
    <row r="17" spans="1:7" ht="25.5">
      <c r="A17" s="208"/>
      <c r="B17" s="209" t="s">
        <v>415</v>
      </c>
      <c r="C17" s="210" t="s">
        <v>418</v>
      </c>
      <c r="D17" s="211">
        <v>1</v>
      </c>
      <c r="E17" s="212">
        <v>40000</v>
      </c>
      <c r="F17" s="213"/>
      <c r="G17" s="213"/>
    </row>
    <row r="18" spans="1:7" ht="25.5">
      <c r="A18" s="208">
        <v>7</v>
      </c>
      <c r="B18" s="209" t="s">
        <v>372</v>
      </c>
      <c r="C18" s="210" t="s">
        <v>418</v>
      </c>
      <c r="D18" s="211">
        <v>1</v>
      </c>
      <c r="E18" s="212">
        <v>24000</v>
      </c>
      <c r="F18" s="213"/>
      <c r="G18" s="213"/>
    </row>
    <row r="19" spans="1:7" ht="38.25">
      <c r="A19" s="208">
        <v>8</v>
      </c>
      <c r="B19" s="209" t="s">
        <v>373</v>
      </c>
      <c r="C19" s="210" t="s">
        <v>418</v>
      </c>
      <c r="D19" s="211">
        <v>1</v>
      </c>
      <c r="E19" s="212">
        <v>24000</v>
      </c>
      <c r="F19" s="213"/>
      <c r="G19" s="213"/>
    </row>
    <row r="20" spans="1:7" ht="25.5">
      <c r="A20" s="208">
        <v>9</v>
      </c>
      <c r="B20" s="209" t="s">
        <v>374</v>
      </c>
      <c r="C20" s="210" t="s">
        <v>418</v>
      </c>
      <c r="D20" s="211">
        <v>1</v>
      </c>
      <c r="E20" s="212">
        <v>18000</v>
      </c>
      <c r="F20" s="213"/>
      <c r="G20" s="213"/>
    </row>
    <row r="21" spans="1:7" ht="25.5">
      <c r="A21" s="208">
        <v>10</v>
      </c>
      <c r="B21" s="209" t="s">
        <v>375</v>
      </c>
      <c r="C21" s="210" t="s">
        <v>418</v>
      </c>
      <c r="D21" s="211">
        <v>1</v>
      </c>
      <c r="E21" s="212">
        <f>54400+3000</f>
        <v>57400</v>
      </c>
      <c r="F21" s="213"/>
      <c r="G21" s="213"/>
    </row>
    <row r="22" spans="1:7" ht="25.5">
      <c r="A22" s="208">
        <v>11</v>
      </c>
      <c r="B22" s="214" t="s">
        <v>376</v>
      </c>
      <c r="C22" s="210" t="s">
        <v>418</v>
      </c>
      <c r="D22" s="211">
        <v>1</v>
      </c>
      <c r="E22" s="212">
        <v>10000</v>
      </c>
      <c r="F22" s="213"/>
      <c r="G22" s="213"/>
    </row>
    <row r="23" spans="1:7" ht="15">
      <c r="A23" s="215"/>
      <c r="B23" s="216"/>
      <c r="C23" s="217" t="s">
        <v>160</v>
      </c>
      <c r="D23" s="218"/>
      <c r="E23" s="219">
        <f>SUM(E10:E22)</f>
        <v>283900</v>
      </c>
      <c r="F23" s="213"/>
      <c r="G23" s="213"/>
    </row>
    <row r="24" spans="1:7" ht="38.25">
      <c r="A24" s="171" t="s">
        <v>40</v>
      </c>
      <c r="B24" s="171" t="s">
        <v>51</v>
      </c>
      <c r="C24" s="220" t="s">
        <v>161</v>
      </c>
      <c r="D24" s="220" t="s">
        <v>162</v>
      </c>
      <c r="E24" s="171" t="s">
        <v>92</v>
      </c>
      <c r="F24" s="213"/>
      <c r="G24" s="213"/>
    </row>
    <row r="25" spans="1:7" ht="15">
      <c r="A25" s="206">
        <f>A22+1</f>
        <v>12</v>
      </c>
      <c r="B25" s="209" t="s">
        <v>377</v>
      </c>
      <c r="C25" s="221">
        <f>E25/D25</f>
        <v>12.00483055775051</v>
      </c>
      <c r="D25" s="222">
        <v>5589.416666666667</v>
      </c>
      <c r="E25" s="212">
        <v>67100</v>
      </c>
      <c r="F25" s="213"/>
      <c r="G25" s="213"/>
    </row>
    <row r="26" spans="1:7" ht="15">
      <c r="A26" s="206">
        <f>A25+1</f>
        <v>13</v>
      </c>
      <c r="B26" s="209" t="s">
        <v>378</v>
      </c>
      <c r="C26" s="221">
        <f>E26/D26</f>
        <v>12.02020202020202</v>
      </c>
      <c r="D26" s="223">
        <v>2970</v>
      </c>
      <c r="E26" s="212">
        <v>35700</v>
      </c>
      <c r="F26" s="213"/>
      <c r="G26" s="213"/>
    </row>
    <row r="27" spans="1:7" ht="15">
      <c r="A27" s="206">
        <f>A26+1</f>
        <v>14</v>
      </c>
      <c r="B27" s="209" t="s">
        <v>379</v>
      </c>
      <c r="C27" s="221">
        <f>E27/D27</f>
        <v>13.087713745822823</v>
      </c>
      <c r="D27" s="223">
        <v>26857.25</v>
      </c>
      <c r="E27" s="212">
        <v>351500</v>
      </c>
      <c r="F27" s="213"/>
      <c r="G27" s="213"/>
    </row>
    <row r="28" spans="1:7" ht="15">
      <c r="A28" s="215"/>
      <c r="B28" s="216"/>
      <c r="C28" s="218" t="s">
        <v>163</v>
      </c>
      <c r="D28" s="219"/>
      <c r="E28" s="219">
        <f>SUM(E25:E27)</f>
        <v>454300</v>
      </c>
      <c r="F28" s="213"/>
      <c r="G28" s="213"/>
    </row>
    <row r="29" spans="1:7" ht="15">
      <c r="A29" s="224"/>
      <c r="B29" s="225" t="s">
        <v>49</v>
      </c>
      <c r="C29" s="224" t="s">
        <v>50</v>
      </c>
      <c r="D29" s="224" t="s">
        <v>50</v>
      </c>
      <c r="E29" s="226">
        <f>E23+E28</f>
        <v>738200</v>
      </c>
      <c r="F29" s="213"/>
      <c r="G29" s="213"/>
    </row>
    <row r="30" spans="5:7" ht="12.75">
      <c r="E30" s="227"/>
      <c r="F30" s="213"/>
      <c r="G30" s="213"/>
    </row>
    <row r="31" spans="5:7" ht="12.75">
      <c r="E31" s="227"/>
      <c r="F31" s="213"/>
      <c r="G31" s="213"/>
    </row>
    <row r="32" spans="1:7" s="237" customFormat="1" ht="14.25">
      <c r="A32" s="365" t="s">
        <v>430</v>
      </c>
      <c r="B32" s="365"/>
      <c r="C32" s="365"/>
      <c r="D32" s="365"/>
      <c r="E32" s="365"/>
      <c r="F32" s="236"/>
      <c r="G32" s="236"/>
    </row>
    <row r="33" spans="1:7" s="229" customFormat="1" ht="15">
      <c r="A33" s="201"/>
      <c r="B33" s="201"/>
      <c r="C33" s="201"/>
      <c r="D33" s="201"/>
      <c r="E33" s="201"/>
      <c r="F33" s="228"/>
      <c r="G33" s="228"/>
    </row>
    <row r="34" spans="1:5" s="202" customFormat="1" ht="18" customHeight="1">
      <c r="A34" s="381" t="s">
        <v>402</v>
      </c>
      <c r="B34" s="381"/>
      <c r="C34" s="381"/>
      <c r="D34" s="381"/>
      <c r="E34" s="381"/>
    </row>
    <row r="35" spans="1:6" s="202" customFormat="1" ht="35.25" customHeight="1">
      <c r="A35" s="381" t="s">
        <v>347</v>
      </c>
      <c r="B35" s="381"/>
      <c r="C35" s="381"/>
      <c r="D35" s="381"/>
      <c r="E35" s="381"/>
      <c r="F35" s="203"/>
    </row>
    <row r="36" spans="1:7" s="229" customFormat="1" ht="15">
      <c r="A36" s="204"/>
      <c r="B36" s="199"/>
      <c r="C36" s="199"/>
      <c r="D36" s="199"/>
      <c r="E36" s="228"/>
      <c r="F36" s="228"/>
      <c r="G36" s="228"/>
    </row>
    <row r="37" spans="1:8" s="229" customFormat="1" ht="30">
      <c r="A37" s="171" t="s">
        <v>40</v>
      </c>
      <c r="B37" s="379" t="s">
        <v>51</v>
      </c>
      <c r="C37" s="380"/>
      <c r="D37" s="171" t="s">
        <v>93</v>
      </c>
      <c r="E37" s="171" t="s">
        <v>94</v>
      </c>
      <c r="F37" s="228"/>
      <c r="G37" s="228"/>
      <c r="H37" s="228"/>
    </row>
    <row r="38" spans="1:8" s="229" customFormat="1" ht="12.75">
      <c r="A38" s="206">
        <v>1</v>
      </c>
      <c r="B38" s="384">
        <v>2</v>
      </c>
      <c r="C38" s="385"/>
      <c r="D38" s="206">
        <v>3</v>
      </c>
      <c r="E38" s="206">
        <v>4</v>
      </c>
      <c r="F38" s="230"/>
      <c r="G38" s="230"/>
      <c r="H38" s="228"/>
    </row>
    <row r="39" spans="1:8" s="229" customFormat="1" ht="15">
      <c r="A39" s="224">
        <v>1</v>
      </c>
      <c r="B39" s="386" t="s">
        <v>380</v>
      </c>
      <c r="C39" s="387"/>
      <c r="D39" s="224">
        <v>1</v>
      </c>
      <c r="E39" s="212">
        <v>28400</v>
      </c>
      <c r="F39" s="230"/>
      <c r="G39" s="230"/>
      <c r="H39" s="228"/>
    </row>
    <row r="40" spans="1:8" ht="15">
      <c r="A40" s="224">
        <f>A39+1</f>
        <v>2</v>
      </c>
      <c r="B40" s="386" t="s">
        <v>381</v>
      </c>
      <c r="C40" s="387"/>
      <c r="D40" s="224">
        <v>1</v>
      </c>
      <c r="E40" s="212">
        <v>80400</v>
      </c>
      <c r="F40" s="233"/>
      <c r="G40" s="234"/>
      <c r="H40" s="213"/>
    </row>
    <row r="41" spans="1:8" ht="15">
      <c r="A41" s="224">
        <v>3</v>
      </c>
      <c r="B41" s="231" t="s">
        <v>416</v>
      </c>
      <c r="C41" s="232"/>
      <c r="D41" s="224">
        <v>1</v>
      </c>
      <c r="E41" s="212">
        <v>7000</v>
      </c>
      <c r="F41" s="233"/>
      <c r="G41" s="234"/>
      <c r="H41" s="213"/>
    </row>
    <row r="42" spans="1:8" ht="15">
      <c r="A42" s="224">
        <v>4</v>
      </c>
      <c r="B42" s="386" t="s">
        <v>382</v>
      </c>
      <c r="C42" s="387"/>
      <c r="D42" s="224">
        <v>1</v>
      </c>
      <c r="E42" s="212">
        <v>2000</v>
      </c>
      <c r="F42" s="227"/>
      <c r="G42" s="213"/>
      <c r="H42" s="213"/>
    </row>
    <row r="43" spans="1:8" ht="15">
      <c r="A43" s="224">
        <v>5</v>
      </c>
      <c r="B43" s="386" t="s">
        <v>383</v>
      </c>
      <c r="C43" s="387"/>
      <c r="D43" s="224">
        <v>1</v>
      </c>
      <c r="E43" s="212">
        <v>0</v>
      </c>
      <c r="F43" s="227"/>
      <c r="G43" s="213"/>
      <c r="H43" s="213"/>
    </row>
    <row r="44" spans="1:8" ht="15">
      <c r="A44" s="224">
        <v>6</v>
      </c>
      <c r="B44" s="386" t="s">
        <v>384</v>
      </c>
      <c r="C44" s="387"/>
      <c r="D44" s="224">
        <v>1</v>
      </c>
      <c r="E44" s="212">
        <v>6000</v>
      </c>
      <c r="F44" s="228"/>
      <c r="G44" s="213"/>
      <c r="H44" s="213"/>
    </row>
    <row r="45" spans="1:8" ht="15">
      <c r="A45" s="224">
        <v>7</v>
      </c>
      <c r="B45" s="386" t="s">
        <v>385</v>
      </c>
      <c r="C45" s="387"/>
      <c r="D45" s="224">
        <v>1</v>
      </c>
      <c r="E45" s="212">
        <v>6300</v>
      </c>
      <c r="F45" s="227"/>
      <c r="G45" s="213"/>
      <c r="H45" s="213"/>
    </row>
    <row r="46" spans="1:8" ht="15">
      <c r="A46" s="224">
        <v>8</v>
      </c>
      <c r="B46" s="386" t="s">
        <v>386</v>
      </c>
      <c r="C46" s="387"/>
      <c r="D46" s="224">
        <v>1</v>
      </c>
      <c r="E46" s="212">
        <v>12000</v>
      </c>
      <c r="F46" s="227"/>
      <c r="G46" s="213"/>
      <c r="H46" s="213"/>
    </row>
    <row r="47" spans="1:8" ht="14.25">
      <c r="A47" s="235"/>
      <c r="B47" s="382" t="s">
        <v>49</v>
      </c>
      <c r="C47" s="383"/>
      <c r="D47" s="235" t="s">
        <v>50</v>
      </c>
      <c r="E47" s="226">
        <f>SUM(E39:E46)</f>
        <v>142100</v>
      </c>
      <c r="F47" s="227"/>
      <c r="G47" s="213"/>
      <c r="H47" s="213"/>
    </row>
  </sheetData>
  <sheetProtection/>
  <mergeCells count="17">
    <mergeCell ref="B47:C47"/>
    <mergeCell ref="B38:C38"/>
    <mergeCell ref="B39:C39"/>
    <mergeCell ref="B40:C40"/>
    <mergeCell ref="B46:C46"/>
    <mergeCell ref="B42:C42"/>
    <mergeCell ref="B43:C43"/>
    <mergeCell ref="B44:C44"/>
    <mergeCell ref="B45:C45"/>
    <mergeCell ref="A2:E2"/>
    <mergeCell ref="A3:E3"/>
    <mergeCell ref="A32:E32"/>
    <mergeCell ref="B37:C37"/>
    <mergeCell ref="A5:E5"/>
    <mergeCell ref="A6:E6"/>
    <mergeCell ref="A34:E34"/>
    <mergeCell ref="A35:E3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6" r:id="rId1"/>
  <rowBreaks count="1" manualBreakCount="1">
    <brk id="48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93"/>
  <sheetViews>
    <sheetView view="pageBreakPreview" zoomScaleSheetLayoutView="100" zoomScalePageLayoutView="0" workbookViewId="0" topLeftCell="A80">
      <selection activeCell="A1" sqref="A1:E93"/>
    </sheetView>
  </sheetViews>
  <sheetFormatPr defaultColWidth="9.00390625" defaultRowHeight="12.75"/>
  <cols>
    <col min="1" max="1" width="7.00390625" style="199" customWidth="1"/>
    <col min="2" max="2" width="31.75390625" style="199" customWidth="1"/>
    <col min="3" max="3" width="17.00390625" style="238" customWidth="1"/>
    <col min="4" max="4" width="17.00390625" style="199" customWidth="1"/>
    <col min="5" max="5" width="19.375" style="199" customWidth="1"/>
    <col min="6" max="6" width="13.375" style="199" bestFit="1" customWidth="1"/>
    <col min="7" max="7" width="9.125" style="199" customWidth="1"/>
    <col min="8" max="8" width="18.00390625" style="199" customWidth="1"/>
    <col min="9" max="9" width="9.625" style="199" bestFit="1" customWidth="1"/>
    <col min="10" max="16384" width="9.125" style="199" customWidth="1"/>
  </cols>
  <sheetData>
    <row r="1" spans="1:5" ht="14.25">
      <c r="A1" s="388" t="s">
        <v>433</v>
      </c>
      <c r="B1" s="388"/>
      <c r="C1" s="388"/>
      <c r="D1" s="388"/>
      <c r="E1" s="388"/>
    </row>
    <row r="2" spans="1:5" s="114" customFormat="1" ht="14.25">
      <c r="A2" s="365"/>
      <c r="B2" s="365"/>
      <c r="C2" s="365"/>
      <c r="D2" s="365"/>
      <c r="E2" s="365"/>
    </row>
    <row r="3" spans="1:5" ht="15">
      <c r="A3" s="201"/>
      <c r="B3" s="201"/>
      <c r="C3" s="201"/>
      <c r="D3" s="201"/>
      <c r="E3" s="201"/>
    </row>
    <row r="4" spans="1:5" ht="21" customHeight="1">
      <c r="A4" s="381" t="s">
        <v>402</v>
      </c>
      <c r="B4" s="381"/>
      <c r="C4" s="381"/>
      <c r="D4" s="381"/>
      <c r="E4" s="381"/>
    </row>
    <row r="5" spans="1:5" ht="33.75" customHeight="1">
      <c r="A5" s="352" t="s">
        <v>347</v>
      </c>
      <c r="B5" s="352"/>
      <c r="C5" s="352"/>
      <c r="D5" s="352"/>
      <c r="E5" s="352"/>
    </row>
    <row r="6" spans="1:5" s="205" customFormat="1" ht="15">
      <c r="A6" s="204"/>
      <c r="B6" s="199"/>
      <c r="C6" s="238"/>
      <c r="D6" s="199"/>
      <c r="E6" s="199"/>
    </row>
    <row r="7" spans="1:5" s="207" customFormat="1" ht="30">
      <c r="A7" s="171" t="s">
        <v>40</v>
      </c>
      <c r="B7" s="171" t="s">
        <v>51</v>
      </c>
      <c r="C7" s="171" t="s">
        <v>88</v>
      </c>
      <c r="D7" s="171" t="s">
        <v>95</v>
      </c>
      <c r="E7" s="171" t="s">
        <v>96</v>
      </c>
    </row>
    <row r="8" spans="1:5" s="207" customFormat="1" ht="12">
      <c r="A8" s="206">
        <v>1</v>
      </c>
      <c r="B8" s="206">
        <v>2</v>
      </c>
      <c r="C8" s="206">
        <v>3</v>
      </c>
      <c r="D8" s="206">
        <v>4</v>
      </c>
      <c r="E8" s="206">
        <v>5</v>
      </c>
    </row>
    <row r="10" spans="1:5" ht="15">
      <c r="A10" s="211"/>
      <c r="B10" s="239" t="s">
        <v>265</v>
      </c>
      <c r="C10" s="211"/>
      <c r="D10" s="240"/>
      <c r="E10" s="241"/>
    </row>
    <row r="11" spans="1:5" ht="25.5">
      <c r="A11" s="211">
        <v>1</v>
      </c>
      <c r="B11" s="242" t="s">
        <v>182</v>
      </c>
      <c r="C11" s="243">
        <v>574.9</v>
      </c>
      <c r="D11" s="244">
        <f>E11/C11</f>
        <v>26.642685684466862</v>
      </c>
      <c r="E11" s="244">
        <v>15316.88</v>
      </c>
    </row>
    <row r="12" spans="1:5" ht="12.75">
      <c r="A12" s="211">
        <f aca="true" t="shared" si="0" ref="A12:A72">A11+1</f>
        <v>2</v>
      </c>
      <c r="B12" s="245" t="s">
        <v>183</v>
      </c>
      <c r="C12" s="246">
        <f>E12/D12</f>
        <v>869.7851037851038</v>
      </c>
      <c r="D12" s="244">
        <v>8.19</v>
      </c>
      <c r="E12" s="244">
        <v>7123.54</v>
      </c>
    </row>
    <row r="13" spans="1:5" ht="12.75">
      <c r="A13" s="211">
        <f t="shared" si="0"/>
        <v>3</v>
      </c>
      <c r="B13" s="245" t="s">
        <v>184</v>
      </c>
      <c r="C13" s="246">
        <f aca="true" t="shared" si="1" ref="C13:C74">E13/D13</f>
        <v>482.10256410256414</v>
      </c>
      <c r="D13" s="244">
        <v>8.19</v>
      </c>
      <c r="E13" s="244">
        <v>3948.42</v>
      </c>
    </row>
    <row r="14" spans="1:5" ht="12.75">
      <c r="A14" s="211">
        <f t="shared" si="0"/>
        <v>4</v>
      </c>
      <c r="B14" s="245" t="s">
        <v>185</v>
      </c>
      <c r="C14" s="246">
        <f t="shared" si="1"/>
        <v>472.0158924205379</v>
      </c>
      <c r="D14" s="244">
        <v>8.18</v>
      </c>
      <c r="E14" s="244">
        <v>3861.09</v>
      </c>
    </row>
    <row r="15" spans="1:5" s="247" customFormat="1" ht="38.25">
      <c r="A15" s="211">
        <f t="shared" si="0"/>
        <v>5</v>
      </c>
      <c r="B15" s="245" t="s">
        <v>186</v>
      </c>
      <c r="C15" s="246">
        <f t="shared" si="1"/>
        <v>718.0720390720392</v>
      </c>
      <c r="D15" s="244">
        <v>8.19</v>
      </c>
      <c r="E15" s="244">
        <v>5881.01</v>
      </c>
    </row>
    <row r="16" spans="1:5" s="247" customFormat="1" ht="25.5">
      <c r="A16" s="211">
        <f t="shared" si="0"/>
        <v>6</v>
      </c>
      <c r="B16" s="245" t="s">
        <v>187</v>
      </c>
      <c r="C16" s="246">
        <f t="shared" si="1"/>
        <v>3692.673992673993</v>
      </c>
      <c r="D16" s="244">
        <v>8.19</v>
      </c>
      <c r="E16" s="244">
        <v>30243</v>
      </c>
    </row>
    <row r="17" spans="1:5" s="247" customFormat="1" ht="12.75">
      <c r="A17" s="211">
        <f t="shared" si="0"/>
        <v>7</v>
      </c>
      <c r="B17" s="245" t="s">
        <v>188</v>
      </c>
      <c r="C17" s="246">
        <f t="shared" si="1"/>
        <v>185.42735042735046</v>
      </c>
      <c r="D17" s="244">
        <v>8.19</v>
      </c>
      <c r="E17" s="244">
        <v>1518.65</v>
      </c>
    </row>
    <row r="18" spans="1:8" s="247" customFormat="1" ht="12.75">
      <c r="A18" s="211">
        <f t="shared" si="0"/>
        <v>8</v>
      </c>
      <c r="B18" s="245" t="s">
        <v>189</v>
      </c>
      <c r="C18" s="246">
        <f t="shared" si="1"/>
        <v>3693.3853118712277</v>
      </c>
      <c r="D18" s="244">
        <v>9.94</v>
      </c>
      <c r="E18" s="244">
        <f>16712.25+20000</f>
        <v>36712.25</v>
      </c>
      <c r="F18" s="248" t="s">
        <v>79</v>
      </c>
      <c r="H18" s="249" t="e">
        <f>#REF!</f>
        <v>#REF!</v>
      </c>
    </row>
    <row r="19" spans="1:6" s="247" customFormat="1" ht="12.75">
      <c r="A19" s="211">
        <f t="shared" si="0"/>
        <v>9</v>
      </c>
      <c r="B19" s="245" t="s">
        <v>190</v>
      </c>
      <c r="C19" s="246">
        <f t="shared" si="1"/>
        <v>3832.2662440570525</v>
      </c>
      <c r="D19" s="244">
        <v>6.31</v>
      </c>
      <c r="E19" s="244">
        <f>4181.6+20000</f>
        <v>24181.6</v>
      </c>
      <c r="F19" s="248"/>
    </row>
    <row r="20" spans="1:6" s="247" customFormat="1" ht="12.75">
      <c r="A20" s="211">
        <f t="shared" si="0"/>
        <v>10</v>
      </c>
      <c r="B20" s="245" t="s">
        <v>191</v>
      </c>
      <c r="C20" s="246">
        <f t="shared" si="1"/>
        <v>4470.239215686274</v>
      </c>
      <c r="D20" s="244">
        <v>7.65</v>
      </c>
      <c r="E20" s="244">
        <f>4197.33+30000</f>
        <v>34197.33</v>
      </c>
      <c r="F20" s="248"/>
    </row>
    <row r="21" spans="1:6" s="247" customFormat="1" ht="12.75">
      <c r="A21" s="211">
        <f t="shared" si="0"/>
        <v>11</v>
      </c>
      <c r="B21" s="245" t="s">
        <v>192</v>
      </c>
      <c r="C21" s="246">
        <f t="shared" si="1"/>
        <v>2572.1858190709045</v>
      </c>
      <c r="D21" s="244">
        <v>8.18</v>
      </c>
      <c r="E21" s="244">
        <f>1040.48+20000</f>
        <v>21040.48</v>
      </c>
      <c r="F21" s="248"/>
    </row>
    <row r="22" spans="1:8" s="247" customFormat="1" ht="25.5">
      <c r="A22" s="211">
        <f t="shared" si="0"/>
        <v>12</v>
      </c>
      <c r="B22" s="245" t="s">
        <v>193</v>
      </c>
      <c r="C22" s="246">
        <f t="shared" si="1"/>
        <v>5848.996336996337</v>
      </c>
      <c r="D22" s="244">
        <v>8.19</v>
      </c>
      <c r="E22" s="244">
        <f>7903.28+40000</f>
        <v>47903.28</v>
      </c>
      <c r="F22" s="248" t="s">
        <v>119</v>
      </c>
      <c r="G22" s="229">
        <v>911000</v>
      </c>
      <c r="H22" s="249">
        <f>E85</f>
        <v>190500</v>
      </c>
    </row>
    <row r="23" spans="1:9" ht="25.5">
      <c r="A23" s="211">
        <f t="shared" si="0"/>
        <v>13</v>
      </c>
      <c r="B23" s="245" t="s">
        <v>194</v>
      </c>
      <c r="C23" s="246">
        <f t="shared" si="1"/>
        <v>6736.330694810907</v>
      </c>
      <c r="D23" s="244">
        <v>11.37</v>
      </c>
      <c r="E23" s="244">
        <f>26592.08+50000</f>
        <v>76592.08</v>
      </c>
      <c r="F23" s="248" t="s">
        <v>120</v>
      </c>
      <c r="G23" s="229"/>
      <c r="H23" s="249">
        <f>E92</f>
        <v>3000</v>
      </c>
      <c r="I23" s="250"/>
    </row>
    <row r="24" spans="1:9" ht="25.5">
      <c r="A24" s="211">
        <f t="shared" si="0"/>
        <v>14</v>
      </c>
      <c r="B24" s="245" t="s">
        <v>195</v>
      </c>
      <c r="C24" s="246">
        <f t="shared" si="1"/>
        <v>159.5517873510541</v>
      </c>
      <c r="D24" s="244">
        <v>10.91</v>
      </c>
      <c r="E24" s="244">
        <v>1740.71</v>
      </c>
      <c r="F24" s="248" t="s">
        <v>79</v>
      </c>
      <c r="G24" s="229"/>
      <c r="H24" s="249" t="e">
        <f>#REF!</f>
        <v>#REF!</v>
      </c>
      <c r="I24" s="250"/>
    </row>
    <row r="25" spans="1:9" ht="12.75">
      <c r="A25" s="211">
        <f t="shared" si="0"/>
        <v>15</v>
      </c>
      <c r="B25" s="245" t="s">
        <v>196</v>
      </c>
      <c r="C25" s="246">
        <f t="shared" si="1"/>
        <v>5049.647130647131</v>
      </c>
      <c r="D25" s="244">
        <v>8.19</v>
      </c>
      <c r="E25" s="244">
        <f>11356.61+30000</f>
        <v>41356.61</v>
      </c>
      <c r="F25" s="248" t="s">
        <v>121</v>
      </c>
      <c r="G25" s="229">
        <f>1215800+970000</f>
        <v>2185800</v>
      </c>
      <c r="H25" s="249">
        <f>SUM(E11:E74)</f>
        <v>2185800.0000000005</v>
      </c>
      <c r="I25" s="251">
        <f>G25-H25</f>
        <v>0</v>
      </c>
    </row>
    <row r="26" spans="1:5" ht="12.75">
      <c r="A26" s="211">
        <f t="shared" si="0"/>
        <v>16</v>
      </c>
      <c r="B26" s="245" t="s">
        <v>197</v>
      </c>
      <c r="C26" s="246">
        <f t="shared" si="1"/>
        <v>2792.262729124236</v>
      </c>
      <c r="D26" s="244">
        <v>9.82</v>
      </c>
      <c r="E26" s="244">
        <v>27420.02</v>
      </c>
    </row>
    <row r="27" spans="1:5" ht="25.5">
      <c r="A27" s="211">
        <f t="shared" si="0"/>
        <v>17</v>
      </c>
      <c r="B27" s="245" t="s">
        <v>198</v>
      </c>
      <c r="C27" s="246">
        <f t="shared" si="1"/>
        <v>1718.1294416243657</v>
      </c>
      <c r="D27" s="244">
        <v>3.94</v>
      </c>
      <c r="E27" s="244">
        <v>6769.43</v>
      </c>
    </row>
    <row r="28" spans="1:5" ht="12.75">
      <c r="A28" s="211">
        <f t="shared" si="0"/>
        <v>18</v>
      </c>
      <c r="B28" s="245" t="s">
        <v>199</v>
      </c>
      <c r="C28" s="246">
        <f t="shared" si="1"/>
        <v>10295.275547445255</v>
      </c>
      <c r="D28" s="244">
        <v>5.48</v>
      </c>
      <c r="E28" s="244">
        <v>56418.11</v>
      </c>
    </row>
    <row r="29" spans="1:5" ht="25.5">
      <c r="A29" s="211">
        <f t="shared" si="0"/>
        <v>19</v>
      </c>
      <c r="B29" s="245" t="s">
        <v>200</v>
      </c>
      <c r="C29" s="246">
        <f t="shared" si="1"/>
        <v>797.5490848585691</v>
      </c>
      <c r="D29" s="244">
        <v>6.01</v>
      </c>
      <c r="E29" s="244">
        <v>4793.27</v>
      </c>
    </row>
    <row r="30" spans="1:5" ht="12.75">
      <c r="A30" s="211">
        <f t="shared" si="0"/>
        <v>20</v>
      </c>
      <c r="B30" s="245" t="s">
        <v>201</v>
      </c>
      <c r="C30" s="246">
        <f t="shared" si="1"/>
        <v>6456.917853231106</v>
      </c>
      <c r="D30" s="244">
        <v>9.13</v>
      </c>
      <c r="E30" s="244">
        <v>58951.66</v>
      </c>
    </row>
    <row r="31" spans="1:5" ht="25.5">
      <c r="A31" s="211">
        <f t="shared" si="0"/>
        <v>21</v>
      </c>
      <c r="B31" s="245" t="s">
        <v>202</v>
      </c>
      <c r="C31" s="246">
        <f t="shared" si="1"/>
        <v>83174.21825396825</v>
      </c>
      <c r="D31" s="244">
        <v>7.56</v>
      </c>
      <c r="E31" s="244">
        <v>628797.09</v>
      </c>
    </row>
    <row r="32" spans="1:5" ht="38.25">
      <c r="A32" s="211">
        <f t="shared" si="0"/>
        <v>22</v>
      </c>
      <c r="B32" s="245" t="s">
        <v>203</v>
      </c>
      <c r="C32" s="246">
        <f t="shared" si="1"/>
        <v>3962.525030525031</v>
      </c>
      <c r="D32" s="244">
        <v>8.19</v>
      </c>
      <c r="E32" s="244">
        <v>32453.08</v>
      </c>
    </row>
    <row r="33" spans="1:5" ht="25.5">
      <c r="A33" s="211">
        <f t="shared" si="0"/>
        <v>23</v>
      </c>
      <c r="B33" s="245" t="s">
        <v>204</v>
      </c>
      <c r="C33" s="246">
        <f t="shared" si="1"/>
        <v>25041.7292358804</v>
      </c>
      <c r="D33" s="244">
        <v>6.02</v>
      </c>
      <c r="E33" s="244">
        <v>150751.21</v>
      </c>
    </row>
    <row r="34" spans="1:5" ht="25.5">
      <c r="A34" s="211">
        <f t="shared" si="0"/>
        <v>24</v>
      </c>
      <c r="B34" s="245" t="s">
        <v>205</v>
      </c>
      <c r="C34" s="246">
        <f t="shared" si="1"/>
        <v>4344.504964539007</v>
      </c>
      <c r="D34" s="244">
        <v>7.05</v>
      </c>
      <c r="E34" s="244">
        <v>30628.76</v>
      </c>
    </row>
    <row r="35" spans="1:5" ht="25.5">
      <c r="A35" s="211">
        <f t="shared" si="0"/>
        <v>25</v>
      </c>
      <c r="B35" s="245" t="s">
        <v>206</v>
      </c>
      <c r="C35" s="246">
        <f t="shared" si="1"/>
        <v>4552.142857142857</v>
      </c>
      <c r="D35" s="244">
        <v>7</v>
      </c>
      <c r="E35" s="244">
        <v>31865</v>
      </c>
    </row>
    <row r="36" spans="1:5" ht="12.75">
      <c r="A36" s="211">
        <f t="shared" si="0"/>
        <v>26</v>
      </c>
      <c r="B36" s="245" t="s">
        <v>207</v>
      </c>
      <c r="C36" s="246">
        <f t="shared" si="1"/>
        <v>308.7443729903537</v>
      </c>
      <c r="D36" s="244">
        <v>6.22</v>
      </c>
      <c r="E36" s="244">
        <v>1920.39</v>
      </c>
    </row>
    <row r="37" spans="1:5" ht="12.75">
      <c r="A37" s="211">
        <f t="shared" si="0"/>
        <v>27</v>
      </c>
      <c r="B37" s="245" t="s">
        <v>208</v>
      </c>
      <c r="C37" s="246">
        <f t="shared" si="1"/>
        <v>1788.8440170940173</v>
      </c>
      <c r="D37" s="244">
        <v>9.36</v>
      </c>
      <c r="E37" s="244">
        <v>16743.58</v>
      </c>
    </row>
    <row r="38" spans="1:5" ht="25.5">
      <c r="A38" s="211">
        <f t="shared" si="0"/>
        <v>28</v>
      </c>
      <c r="B38" s="245" t="s">
        <v>209</v>
      </c>
      <c r="C38" s="246">
        <f t="shared" si="1"/>
        <v>1368.5739385065885</v>
      </c>
      <c r="D38" s="244">
        <v>6.83</v>
      </c>
      <c r="E38" s="244">
        <v>9347.36</v>
      </c>
    </row>
    <row r="39" spans="1:5" ht="25.5">
      <c r="A39" s="211">
        <f t="shared" si="0"/>
        <v>29</v>
      </c>
      <c r="B39" s="245" t="s">
        <v>210</v>
      </c>
      <c r="C39" s="246">
        <f t="shared" si="1"/>
        <v>9335.433985330073</v>
      </c>
      <c r="D39" s="244">
        <v>8.18</v>
      </c>
      <c r="E39" s="244">
        <v>76363.85</v>
      </c>
    </row>
    <row r="40" spans="1:5" ht="12.75">
      <c r="A40" s="211">
        <f t="shared" si="0"/>
        <v>30</v>
      </c>
      <c r="B40" s="245" t="s">
        <v>211</v>
      </c>
      <c r="C40" s="246">
        <f t="shared" si="1"/>
        <v>240.71550671550673</v>
      </c>
      <c r="D40" s="244">
        <v>8.19</v>
      </c>
      <c r="E40" s="244">
        <v>1971.46</v>
      </c>
    </row>
    <row r="41" spans="1:5" ht="12.75">
      <c r="A41" s="211">
        <f t="shared" si="0"/>
        <v>31</v>
      </c>
      <c r="B41" s="245" t="s">
        <v>212</v>
      </c>
      <c r="C41" s="246">
        <f t="shared" si="1"/>
        <v>625.9893992932862</v>
      </c>
      <c r="D41" s="244">
        <v>8.49</v>
      </c>
      <c r="E41" s="244">
        <v>5314.65</v>
      </c>
    </row>
    <row r="42" spans="1:5" ht="12.75">
      <c r="A42" s="211">
        <f t="shared" si="0"/>
        <v>32</v>
      </c>
      <c r="B42" s="245" t="s">
        <v>213</v>
      </c>
      <c r="C42" s="246">
        <f t="shared" si="1"/>
        <v>478.6647058823529</v>
      </c>
      <c r="D42" s="244">
        <v>11.9</v>
      </c>
      <c r="E42" s="244">
        <v>5696.11</v>
      </c>
    </row>
    <row r="43" spans="1:5" ht="12.75">
      <c r="A43" s="211">
        <f t="shared" si="0"/>
        <v>33</v>
      </c>
      <c r="B43" s="245" t="s">
        <v>214</v>
      </c>
      <c r="C43" s="246">
        <f t="shared" si="1"/>
        <v>1631.5794297352343</v>
      </c>
      <c r="D43" s="244">
        <v>9.82</v>
      </c>
      <c r="E43" s="244">
        <f>6022.11+10000</f>
        <v>16022.11</v>
      </c>
    </row>
    <row r="44" spans="1:5" ht="12.75">
      <c r="A44" s="211">
        <f t="shared" si="0"/>
        <v>34</v>
      </c>
      <c r="B44" s="245" t="s">
        <v>215</v>
      </c>
      <c r="C44" s="246">
        <f t="shared" si="1"/>
        <v>2224.6851851851848</v>
      </c>
      <c r="D44" s="244">
        <v>8.64</v>
      </c>
      <c r="E44" s="244">
        <f>9221.28+10000</f>
        <v>19221.28</v>
      </c>
    </row>
    <row r="45" spans="1:5" ht="12.75">
      <c r="A45" s="211">
        <f t="shared" si="0"/>
        <v>35</v>
      </c>
      <c r="B45" s="245" t="s">
        <v>216</v>
      </c>
      <c r="C45" s="246">
        <f t="shared" si="1"/>
        <v>1029.4110970996217</v>
      </c>
      <c r="D45" s="244">
        <v>7.93</v>
      </c>
      <c r="E45" s="244">
        <f>5316.86+2846.37</f>
        <v>8163.23</v>
      </c>
    </row>
    <row r="46" spans="1:5" ht="12.75">
      <c r="A46" s="211">
        <f t="shared" si="0"/>
        <v>36</v>
      </c>
      <c r="B46" s="245" t="s">
        <v>217</v>
      </c>
      <c r="C46" s="246">
        <f t="shared" si="1"/>
        <v>140.25030525030527</v>
      </c>
      <c r="D46" s="244">
        <v>8.19</v>
      </c>
      <c r="E46" s="244">
        <v>1148.65</v>
      </c>
    </row>
    <row r="47" spans="1:5" ht="12.75">
      <c r="A47" s="211">
        <f t="shared" si="0"/>
        <v>37</v>
      </c>
      <c r="B47" s="245" t="s">
        <v>218</v>
      </c>
      <c r="C47" s="246">
        <f t="shared" si="1"/>
        <v>1328.9228791773778</v>
      </c>
      <c r="D47" s="244">
        <v>7.78</v>
      </c>
      <c r="E47" s="244">
        <v>10339.02</v>
      </c>
    </row>
    <row r="48" spans="1:5" ht="12.75">
      <c r="A48" s="211">
        <f t="shared" si="0"/>
        <v>38</v>
      </c>
      <c r="B48" s="245" t="s">
        <v>219</v>
      </c>
      <c r="C48" s="246">
        <f t="shared" si="1"/>
        <v>235.9792531120332</v>
      </c>
      <c r="D48" s="244">
        <v>7.23</v>
      </c>
      <c r="E48" s="244">
        <v>1706.13</v>
      </c>
    </row>
    <row r="49" spans="1:5" ht="51">
      <c r="A49" s="211">
        <f t="shared" si="0"/>
        <v>39</v>
      </c>
      <c r="B49" s="245" t="s">
        <v>220</v>
      </c>
      <c r="C49" s="246">
        <f t="shared" si="1"/>
        <v>1132.7469437652812</v>
      </c>
      <c r="D49" s="244">
        <v>8.18</v>
      </c>
      <c r="E49" s="244">
        <v>9265.87</v>
      </c>
    </row>
    <row r="50" spans="1:5" ht="12.75">
      <c r="A50" s="211">
        <f t="shared" si="0"/>
        <v>40</v>
      </c>
      <c r="B50" s="245" t="s">
        <v>221</v>
      </c>
      <c r="C50" s="246">
        <f t="shared" si="1"/>
        <v>872.7423687423689</v>
      </c>
      <c r="D50" s="244">
        <v>8.19</v>
      </c>
      <c r="E50" s="244">
        <v>7147.76</v>
      </c>
    </row>
    <row r="51" spans="1:5" ht="12.75">
      <c r="A51" s="211">
        <f t="shared" si="0"/>
        <v>41</v>
      </c>
      <c r="B51" s="245" t="s">
        <v>222</v>
      </c>
      <c r="C51" s="246">
        <f t="shared" si="1"/>
        <v>381.34188034188037</v>
      </c>
      <c r="D51" s="244">
        <v>8.19</v>
      </c>
      <c r="E51" s="244">
        <v>3123.19</v>
      </c>
    </row>
    <row r="52" spans="1:5" ht="12.75">
      <c r="A52" s="211">
        <f t="shared" si="0"/>
        <v>42</v>
      </c>
      <c r="B52" s="245" t="s">
        <v>223</v>
      </c>
      <c r="C52" s="246">
        <f t="shared" si="1"/>
        <v>5493.445833333333</v>
      </c>
      <c r="D52" s="244">
        <v>7.2</v>
      </c>
      <c r="E52" s="244">
        <f>9552.81+30000</f>
        <v>39552.81</v>
      </c>
    </row>
    <row r="53" spans="1:5" ht="12.75">
      <c r="A53" s="211">
        <f t="shared" si="0"/>
        <v>43</v>
      </c>
      <c r="B53" s="245" t="s">
        <v>224</v>
      </c>
      <c r="C53" s="246">
        <f t="shared" si="1"/>
        <v>6120.513904338153</v>
      </c>
      <c r="D53" s="244">
        <v>8.99</v>
      </c>
      <c r="E53" s="244">
        <v>55023.42</v>
      </c>
    </row>
    <row r="54" spans="1:5" ht="12.75">
      <c r="A54" s="211">
        <f t="shared" si="0"/>
        <v>44</v>
      </c>
      <c r="B54" s="245" t="s">
        <v>225</v>
      </c>
      <c r="C54" s="246">
        <f t="shared" si="1"/>
        <v>3801.255985267035</v>
      </c>
      <c r="D54" s="244">
        <v>5.43</v>
      </c>
      <c r="E54" s="244">
        <v>20640.82</v>
      </c>
    </row>
    <row r="55" spans="1:5" ht="12.75">
      <c r="A55" s="211">
        <f t="shared" si="0"/>
        <v>45</v>
      </c>
      <c r="B55" s="245" t="s">
        <v>226</v>
      </c>
      <c r="C55" s="246">
        <f t="shared" si="1"/>
        <v>2926.3650615901456</v>
      </c>
      <c r="D55" s="244">
        <v>8.93</v>
      </c>
      <c r="E55" s="244">
        <f>6132.44+20000</f>
        <v>26132.44</v>
      </c>
    </row>
    <row r="56" spans="1:5" ht="12.75">
      <c r="A56" s="211">
        <f t="shared" si="0"/>
        <v>46</v>
      </c>
      <c r="B56" s="245" t="s">
        <v>227</v>
      </c>
      <c r="C56" s="246">
        <f t="shared" si="1"/>
        <v>3416.4551451187335</v>
      </c>
      <c r="D56" s="244">
        <v>7.58</v>
      </c>
      <c r="E56" s="244">
        <v>25896.73</v>
      </c>
    </row>
    <row r="57" spans="1:5" ht="12.75">
      <c r="A57" s="211">
        <f t="shared" si="0"/>
        <v>47</v>
      </c>
      <c r="B57" s="245" t="s">
        <v>228</v>
      </c>
      <c r="C57" s="246">
        <f t="shared" si="1"/>
        <v>4582.268803945746</v>
      </c>
      <c r="D57" s="244">
        <v>8.11</v>
      </c>
      <c r="E57" s="244">
        <v>37162.2</v>
      </c>
    </row>
    <row r="58" spans="1:5" ht="25.5">
      <c r="A58" s="211">
        <f t="shared" si="0"/>
        <v>48</v>
      </c>
      <c r="B58" s="245" t="s">
        <v>229</v>
      </c>
      <c r="C58" s="246">
        <f t="shared" si="1"/>
        <v>7802.2979242979245</v>
      </c>
      <c r="D58" s="244">
        <v>8.19</v>
      </c>
      <c r="E58" s="244">
        <v>63900.82</v>
      </c>
    </row>
    <row r="59" spans="1:5" ht="25.5">
      <c r="A59" s="211">
        <f t="shared" si="0"/>
        <v>49</v>
      </c>
      <c r="B59" s="245" t="s">
        <v>230</v>
      </c>
      <c r="C59" s="246">
        <f t="shared" si="1"/>
        <v>417.8290598290599</v>
      </c>
      <c r="D59" s="244">
        <v>8.19</v>
      </c>
      <c r="E59" s="244">
        <v>3422.02</v>
      </c>
    </row>
    <row r="60" spans="1:5" ht="25.5">
      <c r="A60" s="211">
        <f t="shared" si="0"/>
        <v>50</v>
      </c>
      <c r="B60" s="245" t="s">
        <v>231</v>
      </c>
      <c r="C60" s="246">
        <f t="shared" si="1"/>
        <v>1185.018315018315</v>
      </c>
      <c r="D60" s="244">
        <v>8.19</v>
      </c>
      <c r="E60" s="244">
        <v>9705.3</v>
      </c>
    </row>
    <row r="61" spans="1:5" ht="12.75">
      <c r="A61" s="211">
        <f t="shared" si="0"/>
        <v>51</v>
      </c>
      <c r="B61" s="245" t="s">
        <v>232</v>
      </c>
      <c r="C61" s="246">
        <f t="shared" si="1"/>
        <v>60.04247104247104</v>
      </c>
      <c r="D61" s="244">
        <v>7.77</v>
      </c>
      <c r="E61" s="244">
        <v>466.53</v>
      </c>
    </row>
    <row r="62" spans="1:5" ht="12.75">
      <c r="A62" s="211">
        <f t="shared" si="0"/>
        <v>52</v>
      </c>
      <c r="B62" s="245" t="s">
        <v>233</v>
      </c>
      <c r="C62" s="246">
        <f t="shared" si="1"/>
        <v>223.66576454668473</v>
      </c>
      <c r="D62" s="244">
        <v>7.39</v>
      </c>
      <c r="E62" s="244">
        <v>1652.89</v>
      </c>
    </row>
    <row r="63" spans="1:5" ht="63.75">
      <c r="A63" s="211">
        <f t="shared" si="0"/>
        <v>53</v>
      </c>
      <c r="B63" s="245" t="s">
        <v>234</v>
      </c>
      <c r="C63" s="246">
        <f t="shared" si="1"/>
        <v>2201.0656565656564</v>
      </c>
      <c r="D63" s="244">
        <v>5.94</v>
      </c>
      <c r="E63" s="244">
        <v>13074.33</v>
      </c>
    </row>
    <row r="64" spans="1:5" ht="25.5">
      <c r="A64" s="211">
        <f t="shared" si="0"/>
        <v>54</v>
      </c>
      <c r="B64" s="245" t="s">
        <v>235</v>
      </c>
      <c r="C64" s="246">
        <f t="shared" si="1"/>
        <v>2984.3942403177753</v>
      </c>
      <c r="D64" s="244">
        <v>10.07</v>
      </c>
      <c r="E64" s="244">
        <f>5252.85+20000+4800</f>
        <v>30052.85</v>
      </c>
    </row>
    <row r="65" spans="1:5" ht="12.75">
      <c r="A65" s="211">
        <f t="shared" si="0"/>
        <v>55</v>
      </c>
      <c r="B65" s="245" t="s">
        <v>236</v>
      </c>
      <c r="C65" s="246">
        <f t="shared" si="1"/>
        <v>11231.960927960929</v>
      </c>
      <c r="D65" s="244">
        <v>8.19</v>
      </c>
      <c r="E65" s="244">
        <v>91989.76</v>
      </c>
    </row>
    <row r="66" spans="1:5" ht="12.75">
      <c r="A66" s="211">
        <f t="shared" si="0"/>
        <v>56</v>
      </c>
      <c r="B66" s="245" t="s">
        <v>237</v>
      </c>
      <c r="C66" s="246">
        <f t="shared" si="1"/>
        <v>59.50851063829787</v>
      </c>
      <c r="D66" s="244">
        <v>9.4</v>
      </c>
      <c r="E66" s="244">
        <v>559.38</v>
      </c>
    </row>
    <row r="67" spans="1:5" ht="12.75">
      <c r="A67" s="211">
        <f t="shared" si="0"/>
        <v>57</v>
      </c>
      <c r="B67" s="245" t="s">
        <v>238</v>
      </c>
      <c r="C67" s="246">
        <f t="shared" si="1"/>
        <v>483.4087882822903</v>
      </c>
      <c r="D67" s="244">
        <v>7.51</v>
      </c>
      <c r="E67" s="244">
        <v>3630.4</v>
      </c>
    </row>
    <row r="68" spans="1:5" ht="12.75">
      <c r="A68" s="211">
        <f t="shared" si="0"/>
        <v>58</v>
      </c>
      <c r="B68" s="245" t="s">
        <v>239</v>
      </c>
      <c r="C68" s="246">
        <f t="shared" si="1"/>
        <v>114.12358133669609</v>
      </c>
      <c r="D68" s="244">
        <v>7.93</v>
      </c>
      <c r="E68" s="244">
        <v>905</v>
      </c>
    </row>
    <row r="69" spans="1:5" ht="25.5">
      <c r="A69" s="211">
        <f t="shared" si="0"/>
        <v>59</v>
      </c>
      <c r="B69" s="245" t="s">
        <v>240</v>
      </c>
      <c r="C69" s="246">
        <f t="shared" si="1"/>
        <v>283.79634831460675</v>
      </c>
      <c r="D69" s="244">
        <v>7.12</v>
      </c>
      <c r="E69" s="244">
        <v>2020.63</v>
      </c>
    </row>
    <row r="70" spans="1:5" ht="12.75">
      <c r="A70" s="211">
        <f t="shared" si="0"/>
        <v>60</v>
      </c>
      <c r="B70" s="245" t="s">
        <v>241</v>
      </c>
      <c r="C70" s="246">
        <f t="shared" si="1"/>
        <v>14.894865525672373</v>
      </c>
      <c r="D70" s="244">
        <v>8.18</v>
      </c>
      <c r="E70" s="244">
        <v>121.84</v>
      </c>
    </row>
    <row r="71" spans="1:5" ht="25.5">
      <c r="A71" s="211">
        <f t="shared" si="0"/>
        <v>61</v>
      </c>
      <c r="B71" s="245" t="s">
        <v>242</v>
      </c>
      <c r="C71" s="246">
        <f t="shared" si="1"/>
        <v>1446.7591339648172</v>
      </c>
      <c r="D71" s="244">
        <v>7.39</v>
      </c>
      <c r="E71" s="244">
        <v>10691.55</v>
      </c>
    </row>
    <row r="72" spans="1:5" ht="12.75">
      <c r="A72" s="211">
        <f t="shared" si="0"/>
        <v>62</v>
      </c>
      <c r="B72" s="245" t="s">
        <v>243</v>
      </c>
      <c r="C72" s="246">
        <f t="shared" si="1"/>
        <v>1238.6581196581199</v>
      </c>
      <c r="D72" s="244">
        <v>8.19</v>
      </c>
      <c r="E72" s="244">
        <v>10144.61</v>
      </c>
    </row>
    <row r="73" spans="1:5" ht="51">
      <c r="A73" s="211">
        <f>A72+1</f>
        <v>63</v>
      </c>
      <c r="B73" s="245" t="s">
        <v>244</v>
      </c>
      <c r="C73" s="246">
        <f t="shared" si="1"/>
        <v>4831.675824175823</v>
      </c>
      <c r="D73" s="244">
        <v>7.28</v>
      </c>
      <c r="E73" s="244">
        <v>35174.6</v>
      </c>
    </row>
    <row r="74" spans="1:9" ht="51">
      <c r="A74" s="211">
        <f>A73+1</f>
        <v>64</v>
      </c>
      <c r="B74" s="245" t="s">
        <v>245</v>
      </c>
      <c r="C74" s="246">
        <f t="shared" si="1"/>
        <v>13380.00720906282</v>
      </c>
      <c r="D74" s="244">
        <v>9.71</v>
      </c>
      <c r="E74" s="244">
        <f>129919.93-0.06</f>
        <v>129919.87</v>
      </c>
      <c r="G74" s="199">
        <v>20000</v>
      </c>
      <c r="H74" s="213">
        <f>SUM(E86:E92)</f>
        <v>19999.99875</v>
      </c>
      <c r="I74" s="213">
        <f>G74-H74</f>
        <v>0.0012500000011641532</v>
      </c>
    </row>
    <row r="75" spans="1:5" s="255" customFormat="1" ht="14.25">
      <c r="A75" s="235"/>
      <c r="B75" s="253" t="s">
        <v>49</v>
      </c>
      <c r="C75" s="235"/>
      <c r="D75" s="235" t="s">
        <v>50</v>
      </c>
      <c r="E75" s="254">
        <f>SUM(E11:E74)</f>
        <v>2185800.0000000005</v>
      </c>
    </row>
    <row r="76" ht="12.75">
      <c r="E76" s="213"/>
    </row>
    <row r="77" spans="1:5" ht="14.25">
      <c r="A77" s="373" t="s">
        <v>434</v>
      </c>
      <c r="B77" s="373"/>
      <c r="C77" s="373"/>
      <c r="D77" s="373"/>
      <c r="E77" s="373"/>
    </row>
    <row r="78" spans="1:5" ht="14.25">
      <c r="A78" s="373" t="s">
        <v>432</v>
      </c>
      <c r="B78" s="373"/>
      <c r="C78" s="373"/>
      <c r="D78" s="373"/>
      <c r="E78" s="373"/>
    </row>
    <row r="79" spans="1:5" ht="15">
      <c r="A79" s="116"/>
      <c r="B79" s="116"/>
      <c r="C79" s="116"/>
      <c r="D79" s="116"/>
      <c r="E79" s="116"/>
    </row>
    <row r="80" spans="1:5" ht="15">
      <c r="A80" s="371" t="s">
        <v>402</v>
      </c>
      <c r="B80" s="371"/>
      <c r="C80" s="371"/>
      <c r="D80" s="371"/>
      <c r="E80" s="371"/>
    </row>
    <row r="81" spans="1:5" ht="15">
      <c r="A81" s="389" t="s">
        <v>403</v>
      </c>
      <c r="B81" s="389"/>
      <c r="C81" s="389"/>
      <c r="D81" s="389"/>
      <c r="E81" s="389"/>
    </row>
    <row r="82" spans="1:6" ht="15">
      <c r="A82" s="256"/>
      <c r="C82" s="257"/>
      <c r="F82" s="258" t="e">
        <f>SUM(#REF!)</f>
        <v>#REF!</v>
      </c>
    </row>
    <row r="83" spans="1:5" ht="30">
      <c r="A83" s="16" t="s">
        <v>40</v>
      </c>
      <c r="B83" s="16" t="s">
        <v>51</v>
      </c>
      <c r="C83" s="16" t="s">
        <v>88</v>
      </c>
      <c r="D83" s="16" t="s">
        <v>95</v>
      </c>
      <c r="E83" s="16" t="s">
        <v>96</v>
      </c>
    </row>
    <row r="84" spans="1:5" ht="12.75" customHeight="1">
      <c r="A84" s="259">
        <v>1</v>
      </c>
      <c r="B84" s="259">
        <v>2</v>
      </c>
      <c r="C84" s="259">
        <v>3</v>
      </c>
      <c r="D84" s="259">
        <v>4</v>
      </c>
      <c r="E84" s="259">
        <v>5</v>
      </c>
    </row>
    <row r="85" spans="1:5" ht="63.75">
      <c r="A85" s="211">
        <v>1</v>
      </c>
      <c r="B85" s="239" t="s">
        <v>264</v>
      </c>
      <c r="C85" s="211">
        <v>2</v>
      </c>
      <c r="D85" s="240">
        <f>E85/C85</f>
        <v>95250</v>
      </c>
      <c r="E85" s="241">
        <v>190500</v>
      </c>
    </row>
    <row r="86" spans="1:5" ht="12.75">
      <c r="A86" s="211">
        <v>2</v>
      </c>
      <c r="B86" s="245" t="s">
        <v>247</v>
      </c>
      <c r="C86" s="243">
        <v>10</v>
      </c>
      <c r="D86" s="244">
        <v>278.5065</v>
      </c>
      <c r="E86" s="252">
        <f>C86*D86+0.06</f>
        <v>2785.125</v>
      </c>
    </row>
    <row r="87" spans="1:5" ht="25.5">
      <c r="A87" s="211">
        <f>A86+1</f>
        <v>3</v>
      </c>
      <c r="B87" s="245" t="s">
        <v>248</v>
      </c>
      <c r="C87" s="243">
        <v>20</v>
      </c>
      <c r="D87" s="244">
        <v>113.92</v>
      </c>
      <c r="E87" s="252">
        <f>C87*D87</f>
        <v>2278.4</v>
      </c>
    </row>
    <row r="88" spans="1:5" ht="25.5">
      <c r="A88" s="211">
        <f>A87+1</f>
        <v>4</v>
      </c>
      <c r="B88" s="245" t="s">
        <v>249</v>
      </c>
      <c r="C88" s="243">
        <v>5</v>
      </c>
      <c r="D88" s="244">
        <v>272.06675</v>
      </c>
      <c r="E88" s="252">
        <f>C88*D88</f>
        <v>1360.33375</v>
      </c>
    </row>
    <row r="89" spans="1:5" ht="25.5">
      <c r="A89" s="211">
        <v>5</v>
      </c>
      <c r="B89" s="245" t="s">
        <v>253</v>
      </c>
      <c r="C89" s="243">
        <v>15</v>
      </c>
      <c r="D89" s="244">
        <v>26.1</v>
      </c>
      <c r="E89" s="252">
        <f>C89*D89</f>
        <v>391.5</v>
      </c>
    </row>
    <row r="90" spans="1:5" ht="12.75">
      <c r="A90" s="211">
        <f>A89+1</f>
        <v>6</v>
      </c>
      <c r="B90" s="245" t="s">
        <v>254</v>
      </c>
      <c r="C90" s="243">
        <v>100</v>
      </c>
      <c r="D90" s="244">
        <v>20.9</v>
      </c>
      <c r="E90" s="252">
        <f>C90*D90</f>
        <v>2090</v>
      </c>
    </row>
    <row r="91" spans="1:5" ht="38.25">
      <c r="A91" s="211">
        <v>7</v>
      </c>
      <c r="B91" s="245" t="s">
        <v>256</v>
      </c>
      <c r="C91" s="243">
        <v>30</v>
      </c>
      <c r="D91" s="244">
        <v>269.8</v>
      </c>
      <c r="E91" s="252">
        <f>C91*D91+0.58+0.06</f>
        <v>8094.64</v>
      </c>
    </row>
    <row r="92" spans="1:5" ht="25.5">
      <c r="A92" s="211">
        <v>8</v>
      </c>
      <c r="B92" s="239" t="s">
        <v>246</v>
      </c>
      <c r="C92" s="211">
        <v>10</v>
      </c>
      <c r="D92" s="240">
        <f>E92/C92</f>
        <v>300</v>
      </c>
      <c r="E92" s="241">
        <v>3000</v>
      </c>
    </row>
    <row r="93" spans="1:5" s="114" customFormat="1" ht="14.25">
      <c r="A93" s="260"/>
      <c r="B93" s="196" t="s">
        <v>49</v>
      </c>
      <c r="C93" s="260"/>
      <c r="D93" s="260" t="s">
        <v>50</v>
      </c>
      <c r="E93" s="266">
        <f>SUM(E85:E92)</f>
        <v>210499.99875</v>
      </c>
    </row>
  </sheetData>
  <sheetProtection/>
  <mergeCells count="8">
    <mergeCell ref="A77:E77"/>
    <mergeCell ref="A78:E78"/>
    <mergeCell ref="A80:E80"/>
    <mergeCell ref="A81:E81"/>
    <mergeCell ref="A1:E1"/>
    <mergeCell ref="A2:E2"/>
    <mergeCell ref="A5:E5"/>
    <mergeCell ref="A4:E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17"/>
  <sheetViews>
    <sheetView view="pageBreakPreview" zoomScale="115" zoomScaleSheetLayoutView="115" workbookViewId="0" topLeftCell="A16">
      <selection activeCell="A75" sqref="A75:E117"/>
    </sheetView>
  </sheetViews>
  <sheetFormatPr defaultColWidth="9.00390625" defaultRowHeight="12.75"/>
  <cols>
    <col min="1" max="1" width="7.00390625" style="199" customWidth="1"/>
    <col min="2" max="2" width="31.75390625" style="199" customWidth="1"/>
    <col min="3" max="3" width="17.00390625" style="238" customWidth="1"/>
    <col min="4" max="5" width="17.00390625" style="199" customWidth="1"/>
    <col min="6" max="6" width="13.375" style="199" bestFit="1" customWidth="1"/>
    <col min="7" max="7" width="9.125" style="199" customWidth="1"/>
    <col min="8" max="8" width="18.00390625" style="199" customWidth="1"/>
    <col min="9" max="9" width="9.625" style="199" bestFit="1" customWidth="1"/>
    <col min="10" max="16384" width="9.125" style="199" customWidth="1"/>
  </cols>
  <sheetData>
    <row r="1" spans="1:5" s="114" customFormat="1" ht="14.25">
      <c r="A1" s="365" t="s">
        <v>435</v>
      </c>
      <c r="B1" s="365"/>
      <c r="C1" s="365"/>
      <c r="D1" s="365"/>
      <c r="E1" s="365"/>
    </row>
    <row r="2" spans="1:5" ht="14.25">
      <c r="A2" s="388"/>
      <c r="B2" s="388"/>
      <c r="C2" s="388"/>
      <c r="D2" s="388"/>
      <c r="E2" s="388"/>
    </row>
    <row r="3" spans="1:5" ht="15">
      <c r="A3" s="381" t="s">
        <v>402</v>
      </c>
      <c r="B3" s="381"/>
      <c r="C3" s="381"/>
      <c r="D3" s="381"/>
      <c r="E3" s="381"/>
    </row>
    <row r="4" spans="1:5" ht="33" customHeight="1">
      <c r="A4" s="352" t="s">
        <v>403</v>
      </c>
      <c r="B4" s="352"/>
      <c r="C4" s="352"/>
      <c r="D4" s="352"/>
      <c r="E4" s="352"/>
    </row>
    <row r="5" ht="15">
      <c r="A5" s="204"/>
    </row>
    <row r="6" spans="1:5" s="205" customFormat="1" ht="57.75" customHeight="1">
      <c r="A6" s="171" t="s">
        <v>40</v>
      </c>
      <c r="B6" s="171" t="s">
        <v>51</v>
      </c>
      <c r="C6" s="171" t="s">
        <v>88</v>
      </c>
      <c r="D6" s="171" t="s">
        <v>95</v>
      </c>
      <c r="E6" s="171" t="s">
        <v>96</v>
      </c>
    </row>
    <row r="7" spans="1:5" s="207" customFormat="1" ht="12">
      <c r="A7" s="206">
        <v>1</v>
      </c>
      <c r="B7" s="206">
        <v>2</v>
      </c>
      <c r="C7" s="206">
        <v>3</v>
      </c>
      <c r="D7" s="206">
        <v>4</v>
      </c>
      <c r="E7" s="206">
        <v>5</v>
      </c>
    </row>
    <row r="8" spans="1:5" ht="15">
      <c r="A8" s="211"/>
      <c r="B8" s="210" t="s">
        <v>265</v>
      </c>
      <c r="C8" s="211"/>
      <c r="D8" s="240"/>
      <c r="E8" s="241"/>
    </row>
    <row r="9" spans="1:5" ht="25.5">
      <c r="A9" s="211">
        <v>1</v>
      </c>
      <c r="B9" s="242" t="s">
        <v>182</v>
      </c>
      <c r="C9" s="243">
        <v>574.9</v>
      </c>
      <c r="D9" s="244">
        <f>E9/C9</f>
        <v>96.22000347886589</v>
      </c>
      <c r="E9" s="244">
        <v>55316.88</v>
      </c>
    </row>
    <row r="10" spans="1:5" ht="12.75">
      <c r="A10" s="211">
        <f aca="true" t="shared" si="0" ref="A10:A41">A9+1</f>
        <v>2</v>
      </c>
      <c r="B10" s="245" t="s">
        <v>183</v>
      </c>
      <c r="C10" s="246">
        <f aca="true" t="shared" si="1" ref="C10:C41">E10/D10</f>
        <v>1480.2857142857144</v>
      </c>
      <c r="D10" s="244">
        <v>8.19</v>
      </c>
      <c r="E10" s="244">
        <f>7123.54+5000</f>
        <v>12123.54</v>
      </c>
    </row>
    <row r="11" spans="1:5" ht="12.75">
      <c r="A11" s="211">
        <f t="shared" si="0"/>
        <v>3</v>
      </c>
      <c r="B11" s="245" t="s">
        <v>184</v>
      </c>
      <c r="C11" s="246">
        <f t="shared" si="1"/>
        <v>1703.1037851037852</v>
      </c>
      <c r="D11" s="244">
        <v>8.19</v>
      </c>
      <c r="E11" s="244">
        <f>3948.42+10000</f>
        <v>13948.42</v>
      </c>
    </row>
    <row r="12" spans="1:5" ht="12.75">
      <c r="A12" s="211">
        <f t="shared" si="0"/>
        <v>4</v>
      </c>
      <c r="B12" s="245" t="s">
        <v>185</v>
      </c>
      <c r="C12" s="246">
        <f t="shared" si="1"/>
        <v>594.2652811735942</v>
      </c>
      <c r="D12" s="244">
        <v>8.18</v>
      </c>
      <c r="E12" s="244">
        <v>4861.09</v>
      </c>
    </row>
    <row r="13" spans="1:5" ht="38.25">
      <c r="A13" s="211">
        <f t="shared" si="0"/>
        <v>5</v>
      </c>
      <c r="B13" s="245" t="s">
        <v>186</v>
      </c>
      <c r="C13" s="246">
        <f t="shared" si="1"/>
        <v>3160.0744810744814</v>
      </c>
      <c r="D13" s="244">
        <v>8.19</v>
      </c>
      <c r="E13" s="244">
        <f>20000+5881.01</f>
        <v>25881.010000000002</v>
      </c>
    </row>
    <row r="14" spans="1:5" s="247" customFormat="1" ht="25.5">
      <c r="A14" s="211">
        <f t="shared" si="0"/>
        <v>6</v>
      </c>
      <c r="B14" s="245" t="s">
        <v>187</v>
      </c>
      <c r="C14" s="246">
        <f t="shared" si="1"/>
        <v>15902.686202686204</v>
      </c>
      <c r="D14" s="244">
        <v>8.19</v>
      </c>
      <c r="E14" s="244">
        <v>130243</v>
      </c>
    </row>
    <row r="15" spans="1:5" s="247" customFormat="1" ht="12.75">
      <c r="A15" s="211">
        <f t="shared" si="0"/>
        <v>7</v>
      </c>
      <c r="B15" s="245" t="s">
        <v>188</v>
      </c>
      <c r="C15" s="246">
        <f t="shared" si="1"/>
        <v>185.42735042735046</v>
      </c>
      <c r="D15" s="244">
        <v>8.19</v>
      </c>
      <c r="E15" s="244">
        <v>1518.65</v>
      </c>
    </row>
    <row r="16" spans="1:5" s="247" customFormat="1" ht="12.75">
      <c r="A16" s="211">
        <f t="shared" si="0"/>
        <v>8</v>
      </c>
      <c r="B16" s="245" t="s">
        <v>189</v>
      </c>
      <c r="C16" s="246">
        <f t="shared" si="1"/>
        <v>5705.457746478874</v>
      </c>
      <c r="D16" s="244">
        <v>9.94</v>
      </c>
      <c r="E16" s="244">
        <v>56712.25</v>
      </c>
    </row>
    <row r="17" spans="1:8" s="247" customFormat="1" ht="12.75">
      <c r="A17" s="211">
        <f t="shared" si="0"/>
        <v>9</v>
      </c>
      <c r="B17" s="245" t="s">
        <v>190</v>
      </c>
      <c r="C17" s="246">
        <f t="shared" si="1"/>
        <v>5417.052297939778</v>
      </c>
      <c r="D17" s="244">
        <v>6.31</v>
      </c>
      <c r="E17" s="244">
        <f>14181.6+20000</f>
        <v>34181.6</v>
      </c>
      <c r="F17" s="248"/>
      <c r="H17" s="249"/>
    </row>
    <row r="18" spans="1:6" s="247" customFormat="1" ht="12.75">
      <c r="A18" s="211">
        <f t="shared" si="0"/>
        <v>10</v>
      </c>
      <c r="B18" s="245" t="s">
        <v>191</v>
      </c>
      <c r="C18" s="246">
        <f t="shared" si="1"/>
        <v>7084.618300653595</v>
      </c>
      <c r="D18" s="244">
        <v>7.65</v>
      </c>
      <c r="E18" s="244">
        <f>24197.33+30000</f>
        <v>54197.33</v>
      </c>
      <c r="F18" s="248"/>
    </row>
    <row r="19" spans="1:6" s="247" customFormat="1" ht="12.75">
      <c r="A19" s="211">
        <f t="shared" si="0"/>
        <v>11</v>
      </c>
      <c r="B19" s="245" t="s">
        <v>192</v>
      </c>
      <c r="C19" s="246">
        <f t="shared" si="1"/>
        <v>3794.679706601467</v>
      </c>
      <c r="D19" s="244">
        <v>8.18</v>
      </c>
      <c r="E19" s="244">
        <f>11040.48+20000</f>
        <v>31040.48</v>
      </c>
      <c r="F19" s="248"/>
    </row>
    <row r="20" spans="1:6" s="247" customFormat="1" ht="25.5">
      <c r="A20" s="211">
        <f t="shared" si="0"/>
        <v>12</v>
      </c>
      <c r="B20" s="245" t="s">
        <v>193</v>
      </c>
      <c r="C20" s="246">
        <f t="shared" si="1"/>
        <v>8413.098901098901</v>
      </c>
      <c r="D20" s="244">
        <v>8.19</v>
      </c>
      <c r="E20" s="244">
        <f>27903.28+30000+11000</f>
        <v>68903.28</v>
      </c>
      <c r="F20" s="248"/>
    </row>
    <row r="21" spans="1:8" s="247" customFormat="1" ht="25.5">
      <c r="A21" s="211">
        <f t="shared" si="0"/>
        <v>13</v>
      </c>
      <c r="B21" s="245" t="s">
        <v>194</v>
      </c>
      <c r="C21" s="246">
        <f t="shared" si="1"/>
        <v>9374.85312225154</v>
      </c>
      <c r="D21" s="244">
        <v>11.37</v>
      </c>
      <c r="E21" s="244">
        <f>56592.08+50000</f>
        <v>106592.08</v>
      </c>
      <c r="F21" s="248"/>
      <c r="G21" s="229"/>
      <c r="H21" s="249"/>
    </row>
    <row r="22" spans="1:9" ht="25.5">
      <c r="A22" s="211">
        <f t="shared" si="0"/>
        <v>14</v>
      </c>
      <c r="B22" s="245" t="s">
        <v>195</v>
      </c>
      <c r="C22" s="246">
        <f t="shared" si="1"/>
        <v>3734.2538955087075</v>
      </c>
      <c r="D22" s="244">
        <v>10.91</v>
      </c>
      <c r="E22" s="244">
        <f>10740.71+30000</f>
        <v>40740.71</v>
      </c>
      <c r="F22" s="248"/>
      <c r="G22" s="229"/>
      <c r="H22" s="249"/>
      <c r="I22" s="250"/>
    </row>
    <row r="23" spans="1:9" ht="12.75">
      <c r="A23" s="211">
        <f t="shared" si="0"/>
        <v>15</v>
      </c>
      <c r="B23" s="245" t="s">
        <v>196</v>
      </c>
      <c r="C23" s="246">
        <f t="shared" si="1"/>
        <v>5049.647130647131</v>
      </c>
      <c r="D23" s="244">
        <v>8.19</v>
      </c>
      <c r="E23" s="244">
        <f>11356.61+30000</f>
        <v>41356.61</v>
      </c>
      <c r="F23" s="248"/>
      <c r="G23" s="229"/>
      <c r="H23" s="249"/>
      <c r="I23" s="250"/>
    </row>
    <row r="24" spans="1:9" ht="12.75">
      <c r="A24" s="211">
        <f t="shared" si="0"/>
        <v>16</v>
      </c>
      <c r="B24" s="245" t="s">
        <v>197</v>
      </c>
      <c r="C24" s="246">
        <f t="shared" si="1"/>
        <v>3606.9266802443985</v>
      </c>
      <c r="D24" s="244">
        <v>9.82</v>
      </c>
      <c r="E24" s="244">
        <v>35420.02</v>
      </c>
      <c r="F24" s="248" t="s">
        <v>121</v>
      </c>
      <c r="G24" s="229">
        <v>2700000</v>
      </c>
      <c r="H24" s="249">
        <f>SUM(E9:E72)</f>
        <v>2699999.999999999</v>
      </c>
      <c r="I24" s="251">
        <f>G24-H24</f>
        <v>0</v>
      </c>
    </row>
    <row r="25" spans="1:5" ht="25.5">
      <c r="A25" s="211">
        <f t="shared" si="0"/>
        <v>17</v>
      </c>
      <c r="B25" s="245" t="s">
        <v>198</v>
      </c>
      <c r="C25" s="246">
        <f t="shared" si="1"/>
        <v>1718.1294416243657</v>
      </c>
      <c r="D25" s="244">
        <v>3.94</v>
      </c>
      <c r="E25" s="244">
        <v>6769.43</v>
      </c>
    </row>
    <row r="26" spans="1:5" ht="12.75">
      <c r="A26" s="211">
        <f t="shared" si="0"/>
        <v>18</v>
      </c>
      <c r="B26" s="245" t="s">
        <v>199</v>
      </c>
      <c r="C26" s="246">
        <f t="shared" si="1"/>
        <v>10295.275547445255</v>
      </c>
      <c r="D26" s="244">
        <v>5.48</v>
      </c>
      <c r="E26" s="244">
        <v>56418.11</v>
      </c>
    </row>
    <row r="27" spans="1:5" ht="25.5">
      <c r="A27" s="211">
        <f t="shared" si="0"/>
        <v>19</v>
      </c>
      <c r="B27" s="245" t="s">
        <v>200</v>
      </c>
      <c r="C27" s="246">
        <f t="shared" si="1"/>
        <v>963.9384359400999</v>
      </c>
      <c r="D27" s="244">
        <v>6.01</v>
      </c>
      <c r="E27" s="244">
        <v>5793.27</v>
      </c>
    </row>
    <row r="28" spans="1:5" ht="12.75">
      <c r="A28" s="211">
        <f t="shared" si="0"/>
        <v>20</v>
      </c>
      <c r="B28" s="245" t="s">
        <v>201</v>
      </c>
      <c r="C28" s="246">
        <f t="shared" si="1"/>
        <v>6456.917853231106</v>
      </c>
      <c r="D28" s="244">
        <v>9.13</v>
      </c>
      <c r="E28" s="244">
        <v>58951.66</v>
      </c>
    </row>
    <row r="29" spans="1:5" ht="25.5">
      <c r="A29" s="211">
        <f t="shared" si="0"/>
        <v>21</v>
      </c>
      <c r="B29" s="245" t="s">
        <v>202</v>
      </c>
      <c r="C29" s="246">
        <f t="shared" si="1"/>
        <v>44210.316137566144</v>
      </c>
      <c r="D29" s="244">
        <v>7.56</v>
      </c>
      <c r="E29" s="244">
        <f>325562.9+8667.09</f>
        <v>334229.99000000005</v>
      </c>
    </row>
    <row r="30" spans="1:5" ht="38.25">
      <c r="A30" s="211">
        <f t="shared" si="0"/>
        <v>22</v>
      </c>
      <c r="B30" s="245" t="s">
        <v>203</v>
      </c>
      <c r="C30" s="246">
        <f t="shared" si="1"/>
        <v>4153.868131868132</v>
      </c>
      <c r="D30" s="244">
        <v>8.19</v>
      </c>
      <c r="E30" s="244">
        <v>34020.18</v>
      </c>
    </row>
    <row r="31" spans="1:5" ht="25.5">
      <c r="A31" s="211">
        <f t="shared" si="0"/>
        <v>23</v>
      </c>
      <c r="B31" s="245" t="s">
        <v>204</v>
      </c>
      <c r="C31" s="246">
        <f t="shared" si="1"/>
        <v>25041.7292358804</v>
      </c>
      <c r="D31" s="244">
        <v>6.02</v>
      </c>
      <c r="E31" s="244">
        <v>150751.21</v>
      </c>
    </row>
    <row r="32" spans="1:5" ht="25.5">
      <c r="A32" s="211">
        <f t="shared" si="0"/>
        <v>24</v>
      </c>
      <c r="B32" s="245" t="s">
        <v>205</v>
      </c>
      <c r="C32" s="246">
        <f t="shared" si="1"/>
        <v>4344.504964539007</v>
      </c>
      <c r="D32" s="244">
        <v>7.05</v>
      </c>
      <c r="E32" s="244">
        <v>30628.76</v>
      </c>
    </row>
    <row r="33" spans="1:5" ht="25.5">
      <c r="A33" s="211">
        <f t="shared" si="0"/>
        <v>25</v>
      </c>
      <c r="B33" s="245" t="s">
        <v>206</v>
      </c>
      <c r="C33" s="246">
        <f t="shared" si="1"/>
        <v>3123.5714285714284</v>
      </c>
      <c r="D33" s="244">
        <v>7</v>
      </c>
      <c r="E33" s="244">
        <f>1865+20000</f>
        <v>21865</v>
      </c>
    </row>
    <row r="34" spans="1:5" ht="12.75">
      <c r="A34" s="211">
        <f t="shared" si="0"/>
        <v>26</v>
      </c>
      <c r="B34" s="245" t="s">
        <v>207</v>
      </c>
      <c r="C34" s="246">
        <f t="shared" si="1"/>
        <v>308.7443729903537</v>
      </c>
      <c r="D34" s="244">
        <v>6.22</v>
      </c>
      <c r="E34" s="244">
        <v>1920.39</v>
      </c>
    </row>
    <row r="35" spans="1:5" ht="12.75">
      <c r="A35" s="211">
        <f t="shared" si="0"/>
        <v>27</v>
      </c>
      <c r="B35" s="245" t="s">
        <v>208</v>
      </c>
      <c r="C35" s="246">
        <f t="shared" si="1"/>
        <v>3925.5961538461543</v>
      </c>
      <c r="D35" s="244">
        <v>9.36</v>
      </c>
      <c r="E35" s="244">
        <v>36743.58</v>
      </c>
    </row>
    <row r="36" spans="1:5" ht="25.5">
      <c r="A36" s="211">
        <f t="shared" si="0"/>
        <v>28</v>
      </c>
      <c r="B36" s="245" t="s">
        <v>209</v>
      </c>
      <c r="C36" s="246">
        <f t="shared" si="1"/>
        <v>1368.5739385065885</v>
      </c>
      <c r="D36" s="244">
        <v>6.83</v>
      </c>
      <c r="E36" s="244">
        <v>9347.36</v>
      </c>
    </row>
    <row r="37" spans="1:5" ht="25.5">
      <c r="A37" s="211">
        <f t="shared" si="0"/>
        <v>29</v>
      </c>
      <c r="B37" s="245" t="s">
        <v>210</v>
      </c>
      <c r="C37" s="246">
        <f t="shared" si="1"/>
        <v>21560.3728606357</v>
      </c>
      <c r="D37" s="244">
        <v>8.18</v>
      </c>
      <c r="E37" s="244">
        <v>176363.85</v>
      </c>
    </row>
    <row r="38" spans="1:5" ht="12.75">
      <c r="A38" s="211">
        <f t="shared" si="0"/>
        <v>30</v>
      </c>
      <c r="B38" s="245" t="s">
        <v>211</v>
      </c>
      <c r="C38" s="246">
        <f t="shared" si="1"/>
        <v>240.71550671550673</v>
      </c>
      <c r="D38" s="244">
        <v>8.19</v>
      </c>
      <c r="E38" s="244">
        <v>1971.46</v>
      </c>
    </row>
    <row r="39" spans="1:5" ht="12.75">
      <c r="A39" s="211">
        <f t="shared" si="0"/>
        <v>31</v>
      </c>
      <c r="B39" s="245" t="s">
        <v>212</v>
      </c>
      <c r="C39" s="246">
        <f t="shared" si="1"/>
        <v>1803.8457008244993</v>
      </c>
      <c r="D39" s="244">
        <v>8.49</v>
      </c>
      <c r="E39" s="244">
        <v>15314.65</v>
      </c>
    </row>
    <row r="40" spans="1:5" ht="12.75">
      <c r="A40" s="211">
        <f t="shared" si="0"/>
        <v>32</v>
      </c>
      <c r="B40" s="245" t="s">
        <v>213</v>
      </c>
      <c r="C40" s="246">
        <f t="shared" si="1"/>
        <v>1319.0008403361344</v>
      </c>
      <c r="D40" s="244">
        <v>11.9</v>
      </c>
      <c r="E40" s="244">
        <v>15696.11</v>
      </c>
    </row>
    <row r="41" spans="1:5" ht="12.75">
      <c r="A41" s="211">
        <f t="shared" si="0"/>
        <v>33</v>
      </c>
      <c r="B41" s="245" t="s">
        <v>214</v>
      </c>
      <c r="C41" s="246">
        <f t="shared" si="1"/>
        <v>2649.9093686354377</v>
      </c>
      <c r="D41" s="244">
        <v>9.82</v>
      </c>
      <c r="E41" s="244">
        <f>16022.11+10000</f>
        <v>26022.11</v>
      </c>
    </row>
    <row r="42" spans="1:5" ht="12.75">
      <c r="A42" s="211">
        <f aca="true" t="shared" si="2" ref="A42:A72">A41+1</f>
        <v>34</v>
      </c>
      <c r="B42" s="245" t="s">
        <v>215</v>
      </c>
      <c r="C42" s="246">
        <f aca="true" t="shared" si="3" ref="C42:C72">E42/D42</f>
        <v>2224.6851851851848</v>
      </c>
      <c r="D42" s="244">
        <v>8.64</v>
      </c>
      <c r="E42" s="244">
        <v>19221.28</v>
      </c>
    </row>
    <row r="43" spans="1:5" ht="12.75">
      <c r="A43" s="211">
        <f t="shared" si="2"/>
        <v>35</v>
      </c>
      <c r="B43" s="245" t="s">
        <v>216</v>
      </c>
      <c r="C43" s="246">
        <f t="shared" si="3"/>
        <v>2416.548549810845</v>
      </c>
      <c r="D43" s="244">
        <v>7.93</v>
      </c>
      <c r="E43" s="244">
        <f>11316.86+2846.37+5000</f>
        <v>19163.23</v>
      </c>
    </row>
    <row r="44" spans="1:5" ht="12.75">
      <c r="A44" s="211">
        <f t="shared" si="2"/>
        <v>36</v>
      </c>
      <c r="B44" s="245" t="s">
        <v>217</v>
      </c>
      <c r="C44" s="246">
        <f t="shared" si="3"/>
        <v>628.6507936507936</v>
      </c>
      <c r="D44" s="244">
        <v>8.19</v>
      </c>
      <c r="E44" s="244">
        <v>5148.65</v>
      </c>
    </row>
    <row r="45" spans="1:5" ht="12.75">
      <c r="A45" s="211">
        <f t="shared" si="2"/>
        <v>37</v>
      </c>
      <c r="B45" s="245" t="s">
        <v>218</v>
      </c>
      <c r="C45" s="246">
        <f t="shared" si="3"/>
        <v>2485.7352185089976</v>
      </c>
      <c r="D45" s="244">
        <v>7.78</v>
      </c>
      <c r="E45" s="244">
        <v>19339.02</v>
      </c>
    </row>
    <row r="46" spans="1:5" ht="12.75">
      <c r="A46" s="211">
        <f t="shared" si="2"/>
        <v>38</v>
      </c>
      <c r="B46" s="245" t="s">
        <v>219</v>
      </c>
      <c r="C46" s="246">
        <f t="shared" si="3"/>
        <v>235.9792531120332</v>
      </c>
      <c r="D46" s="244">
        <v>7.23</v>
      </c>
      <c r="E46" s="244">
        <v>1706.13</v>
      </c>
    </row>
    <row r="47" spans="1:5" ht="51">
      <c r="A47" s="211">
        <f t="shared" si="2"/>
        <v>39</v>
      </c>
      <c r="B47" s="245" t="s">
        <v>220</v>
      </c>
      <c r="C47" s="246">
        <f t="shared" si="3"/>
        <v>4800.228606356968</v>
      </c>
      <c r="D47" s="244">
        <v>8.18</v>
      </c>
      <c r="E47" s="244">
        <f>19265.87+20000</f>
        <v>39265.869999999995</v>
      </c>
    </row>
    <row r="48" spans="1:5" ht="12.75">
      <c r="A48" s="211">
        <f t="shared" si="2"/>
        <v>40</v>
      </c>
      <c r="B48" s="245" t="s">
        <v>221</v>
      </c>
      <c r="C48" s="246">
        <f t="shared" si="3"/>
        <v>2215.843711843712</v>
      </c>
      <c r="D48" s="244">
        <v>8.19</v>
      </c>
      <c r="E48" s="244">
        <v>18147.76</v>
      </c>
    </row>
    <row r="49" spans="1:5" ht="12.75">
      <c r="A49" s="211">
        <f t="shared" si="2"/>
        <v>41</v>
      </c>
      <c r="B49" s="245" t="s">
        <v>222</v>
      </c>
      <c r="C49" s="246">
        <f t="shared" si="3"/>
        <v>1602.3431013431016</v>
      </c>
      <c r="D49" s="244">
        <v>8.19</v>
      </c>
      <c r="E49" s="244">
        <v>13123.19</v>
      </c>
    </row>
    <row r="50" spans="1:5" ht="12.75">
      <c r="A50" s="211">
        <f t="shared" si="2"/>
        <v>42</v>
      </c>
      <c r="B50" s="245" t="s">
        <v>223</v>
      </c>
      <c r="C50" s="246">
        <f t="shared" si="3"/>
        <v>6882.334722222222</v>
      </c>
      <c r="D50" s="244">
        <v>7.2</v>
      </c>
      <c r="E50" s="244">
        <f>9552.81+40000</f>
        <v>49552.81</v>
      </c>
    </row>
    <row r="51" spans="1:5" ht="12.75">
      <c r="A51" s="211">
        <f t="shared" si="2"/>
        <v>43</v>
      </c>
      <c r="B51" s="245" t="s">
        <v>224</v>
      </c>
      <c r="C51" s="246">
        <f t="shared" si="3"/>
        <v>6120.513904338153</v>
      </c>
      <c r="D51" s="244">
        <v>8.99</v>
      </c>
      <c r="E51" s="244">
        <v>55023.42</v>
      </c>
    </row>
    <row r="52" spans="1:5" ht="12.75">
      <c r="A52" s="211">
        <f t="shared" si="2"/>
        <v>44</v>
      </c>
      <c r="B52" s="245" t="s">
        <v>225</v>
      </c>
      <c r="C52" s="246">
        <f t="shared" si="3"/>
        <v>3801.255985267035</v>
      </c>
      <c r="D52" s="244">
        <v>5.43</v>
      </c>
      <c r="E52" s="244">
        <v>20640.82</v>
      </c>
    </row>
    <row r="53" spans="1:5" ht="12.75">
      <c r="A53" s="211">
        <f t="shared" si="2"/>
        <v>45</v>
      </c>
      <c r="B53" s="245" t="s">
        <v>226</v>
      </c>
      <c r="C53" s="246">
        <f t="shared" si="3"/>
        <v>1806.5442329227326</v>
      </c>
      <c r="D53" s="244">
        <v>8.93</v>
      </c>
      <c r="E53" s="244">
        <v>16132.44</v>
      </c>
    </row>
    <row r="54" spans="1:5" ht="12.75">
      <c r="A54" s="211">
        <f t="shared" si="2"/>
        <v>46</v>
      </c>
      <c r="B54" s="245" t="s">
        <v>227</v>
      </c>
      <c r="C54" s="246">
        <f t="shared" si="3"/>
        <v>7374.238786279684</v>
      </c>
      <c r="D54" s="244">
        <v>7.58</v>
      </c>
      <c r="E54" s="244">
        <v>55896.73</v>
      </c>
    </row>
    <row r="55" spans="1:5" ht="12.75">
      <c r="A55" s="211">
        <f t="shared" si="2"/>
        <v>47</v>
      </c>
      <c r="B55" s="245" t="s">
        <v>228</v>
      </c>
      <c r="C55" s="246">
        <f t="shared" si="3"/>
        <v>4582.268803945746</v>
      </c>
      <c r="D55" s="244">
        <v>8.11</v>
      </c>
      <c r="E55" s="244">
        <v>37162.2</v>
      </c>
    </row>
    <row r="56" spans="1:5" ht="25.5">
      <c r="A56" s="211">
        <f t="shared" si="2"/>
        <v>48</v>
      </c>
      <c r="B56" s="245" t="s">
        <v>229</v>
      </c>
      <c r="C56" s="246">
        <f t="shared" si="3"/>
        <v>7802.2979242979245</v>
      </c>
      <c r="D56" s="244">
        <v>8.19</v>
      </c>
      <c r="E56" s="244">
        <v>63900.82</v>
      </c>
    </row>
    <row r="57" spans="1:5" ht="25.5">
      <c r="A57" s="211">
        <f t="shared" si="2"/>
        <v>49</v>
      </c>
      <c r="B57" s="245" t="s">
        <v>230</v>
      </c>
      <c r="C57" s="246">
        <f t="shared" si="3"/>
        <v>417.8290598290599</v>
      </c>
      <c r="D57" s="244">
        <v>8.19</v>
      </c>
      <c r="E57" s="244">
        <v>3422.02</v>
      </c>
    </row>
    <row r="58" spans="1:5" ht="25.5">
      <c r="A58" s="211">
        <f t="shared" si="2"/>
        <v>50</v>
      </c>
      <c r="B58" s="245" t="s">
        <v>231</v>
      </c>
      <c r="C58" s="246">
        <f t="shared" si="3"/>
        <v>1185.018315018315</v>
      </c>
      <c r="D58" s="244">
        <v>8.19</v>
      </c>
      <c r="E58" s="244">
        <v>9705.3</v>
      </c>
    </row>
    <row r="59" spans="1:5" ht="12.75">
      <c r="A59" s="211">
        <f t="shared" si="2"/>
        <v>51</v>
      </c>
      <c r="B59" s="245" t="s">
        <v>232</v>
      </c>
      <c r="C59" s="246">
        <f t="shared" si="3"/>
        <v>188.74259974259974</v>
      </c>
      <c r="D59" s="244">
        <v>7.77</v>
      </c>
      <c r="E59" s="244">
        <v>1466.53</v>
      </c>
    </row>
    <row r="60" spans="1:5" ht="12.75">
      <c r="A60" s="211">
        <f t="shared" si="2"/>
        <v>52</v>
      </c>
      <c r="B60" s="245" t="s">
        <v>233</v>
      </c>
      <c r="C60" s="246">
        <f t="shared" si="3"/>
        <v>223.66576454668473</v>
      </c>
      <c r="D60" s="244">
        <v>7.39</v>
      </c>
      <c r="E60" s="244">
        <v>1652.89</v>
      </c>
    </row>
    <row r="61" spans="1:5" ht="63.75">
      <c r="A61" s="211">
        <f t="shared" si="2"/>
        <v>53</v>
      </c>
      <c r="B61" s="245" t="s">
        <v>234</v>
      </c>
      <c r="C61" s="246">
        <f t="shared" si="3"/>
        <v>2201.0656565656564</v>
      </c>
      <c r="D61" s="244">
        <v>5.94</v>
      </c>
      <c r="E61" s="244">
        <v>13074.33</v>
      </c>
    </row>
    <row r="62" spans="1:5" ht="25.5">
      <c r="A62" s="211">
        <f t="shared" si="2"/>
        <v>54</v>
      </c>
      <c r="B62" s="245" t="s">
        <v>235</v>
      </c>
      <c r="C62" s="246">
        <f t="shared" si="3"/>
        <v>5486.876861966236</v>
      </c>
      <c r="D62" s="244">
        <v>10.07</v>
      </c>
      <c r="E62" s="244">
        <f>25252.85+30000</f>
        <v>55252.85</v>
      </c>
    </row>
    <row r="63" spans="1:5" ht="12.75">
      <c r="A63" s="211">
        <f t="shared" si="2"/>
        <v>55</v>
      </c>
      <c r="B63" s="245" t="s">
        <v>236</v>
      </c>
      <c r="C63" s="246">
        <f t="shared" si="3"/>
        <v>11231.960927960929</v>
      </c>
      <c r="D63" s="244">
        <v>8.19</v>
      </c>
      <c r="E63" s="244">
        <v>91989.76</v>
      </c>
    </row>
    <row r="64" spans="1:5" ht="12.75">
      <c r="A64" s="211">
        <f t="shared" si="2"/>
        <v>56</v>
      </c>
      <c r="B64" s="245" t="s">
        <v>237</v>
      </c>
      <c r="C64" s="246">
        <f t="shared" si="3"/>
        <v>378.65744680851066</v>
      </c>
      <c r="D64" s="244">
        <v>9.4</v>
      </c>
      <c r="E64" s="244">
        <v>3559.38</v>
      </c>
    </row>
    <row r="65" spans="1:5" ht="12.75">
      <c r="A65" s="211">
        <f t="shared" si="2"/>
        <v>57</v>
      </c>
      <c r="B65" s="245" t="s">
        <v>238</v>
      </c>
      <c r="C65" s="246">
        <f t="shared" si="3"/>
        <v>483.4087882822903</v>
      </c>
      <c r="D65" s="244">
        <v>7.51</v>
      </c>
      <c r="E65" s="244">
        <v>3630.4</v>
      </c>
    </row>
    <row r="66" spans="1:5" ht="12.75">
      <c r="A66" s="211">
        <f t="shared" si="2"/>
        <v>58</v>
      </c>
      <c r="B66" s="245" t="s">
        <v>239</v>
      </c>
      <c r="C66" s="246">
        <f t="shared" si="3"/>
        <v>618.5372005044136</v>
      </c>
      <c r="D66" s="244">
        <v>7.93</v>
      </c>
      <c r="E66" s="244">
        <f>905+4000</f>
        <v>4905</v>
      </c>
    </row>
    <row r="67" spans="1:5" ht="25.5">
      <c r="A67" s="211">
        <f t="shared" si="2"/>
        <v>59</v>
      </c>
      <c r="B67" s="245" t="s">
        <v>240</v>
      </c>
      <c r="C67" s="246">
        <f t="shared" si="3"/>
        <v>2811.8862359550562</v>
      </c>
      <c r="D67" s="244">
        <v>7.12</v>
      </c>
      <c r="E67" s="244">
        <v>20020.63</v>
      </c>
    </row>
    <row r="68" spans="1:5" ht="12.75">
      <c r="A68" s="211">
        <f t="shared" si="2"/>
        <v>60</v>
      </c>
      <c r="B68" s="245" t="s">
        <v>241</v>
      </c>
      <c r="C68" s="246">
        <f t="shared" si="3"/>
        <v>137.1442542787286</v>
      </c>
      <c r="D68" s="244">
        <v>8.18</v>
      </c>
      <c r="E68" s="244">
        <v>1121.84</v>
      </c>
    </row>
    <row r="69" spans="1:5" ht="25.5">
      <c r="A69" s="211">
        <f t="shared" si="2"/>
        <v>61</v>
      </c>
      <c r="B69" s="245" t="s">
        <v>242</v>
      </c>
      <c r="C69" s="246">
        <f t="shared" si="3"/>
        <v>2799.939106901218</v>
      </c>
      <c r="D69" s="244">
        <v>7.39</v>
      </c>
      <c r="E69" s="244">
        <f>10691.55+10000</f>
        <v>20691.55</v>
      </c>
    </row>
    <row r="70" spans="1:5" ht="12.75">
      <c r="A70" s="211">
        <f t="shared" si="2"/>
        <v>62</v>
      </c>
      <c r="B70" s="245" t="s">
        <v>243</v>
      </c>
      <c r="C70" s="246">
        <f t="shared" si="3"/>
        <v>1849.1587301587304</v>
      </c>
      <c r="D70" s="244">
        <v>8.19</v>
      </c>
      <c r="E70" s="244">
        <f>10144.61+5000</f>
        <v>15144.61</v>
      </c>
    </row>
    <row r="71" spans="1:5" ht="51">
      <c r="A71" s="211">
        <f t="shared" si="2"/>
        <v>63</v>
      </c>
      <c r="B71" s="245" t="s">
        <v>244</v>
      </c>
      <c r="C71" s="246">
        <f t="shared" si="3"/>
        <v>19941.565934065933</v>
      </c>
      <c r="D71" s="244">
        <v>7.28</v>
      </c>
      <c r="E71" s="244">
        <f>95174.6+50000</f>
        <v>145174.6</v>
      </c>
    </row>
    <row r="72" spans="1:5" ht="51">
      <c r="A72" s="211">
        <f t="shared" si="2"/>
        <v>64</v>
      </c>
      <c r="B72" s="245" t="s">
        <v>245</v>
      </c>
      <c r="C72" s="246">
        <f t="shared" si="3"/>
        <v>18529.337796086507</v>
      </c>
      <c r="D72" s="244">
        <v>9.71</v>
      </c>
      <c r="E72" s="244">
        <f>129919.93-0.06+50000</f>
        <v>179919.87</v>
      </c>
    </row>
    <row r="73" spans="1:5" s="255" customFormat="1" ht="14.25">
      <c r="A73" s="235"/>
      <c r="B73" s="253" t="s">
        <v>49</v>
      </c>
      <c r="C73" s="235"/>
      <c r="D73" s="235" t="s">
        <v>50</v>
      </c>
      <c r="E73" s="254">
        <f>SUM(E9:E72)</f>
        <v>2699999.999999999</v>
      </c>
    </row>
    <row r="74" ht="12.75">
      <c r="E74" s="213"/>
    </row>
    <row r="75" spans="1:5" ht="14.25">
      <c r="A75" s="373" t="s">
        <v>437</v>
      </c>
      <c r="B75" s="373"/>
      <c r="C75" s="373"/>
      <c r="D75" s="373"/>
      <c r="E75" s="373"/>
    </row>
    <row r="76" spans="1:5" ht="14.25">
      <c r="A76" s="373" t="s">
        <v>432</v>
      </c>
      <c r="B76" s="373"/>
      <c r="C76" s="373"/>
      <c r="D76" s="373"/>
      <c r="E76" s="373"/>
    </row>
    <row r="77" spans="1:5" ht="15">
      <c r="A77" s="116"/>
      <c r="B77" s="116"/>
      <c r="C77" s="116"/>
      <c r="D77" s="116"/>
      <c r="E77" s="116"/>
    </row>
    <row r="78" spans="1:5" ht="15">
      <c r="A78" s="371" t="s">
        <v>402</v>
      </c>
      <c r="B78" s="371"/>
      <c r="C78" s="371"/>
      <c r="D78" s="371"/>
      <c r="E78" s="371"/>
    </row>
    <row r="79" spans="1:5" ht="15">
      <c r="A79" s="389" t="s">
        <v>403</v>
      </c>
      <c r="B79" s="389"/>
      <c r="C79" s="389"/>
      <c r="D79" s="389"/>
      <c r="E79" s="389"/>
    </row>
    <row r="80" spans="1:6" ht="15">
      <c r="A80" s="256"/>
      <c r="C80" s="257"/>
      <c r="F80" s="258" t="e">
        <f>SUM(#REF!)</f>
        <v>#REF!</v>
      </c>
    </row>
    <row r="81" spans="1:5" ht="30">
      <c r="A81" s="16" t="s">
        <v>40</v>
      </c>
      <c r="B81" s="16" t="s">
        <v>51</v>
      </c>
      <c r="C81" s="16" t="s">
        <v>88</v>
      </c>
      <c r="D81" s="16" t="s">
        <v>95</v>
      </c>
      <c r="E81" s="16" t="s">
        <v>96</v>
      </c>
    </row>
    <row r="82" spans="1:5" ht="12.75" customHeight="1">
      <c r="A82" s="259">
        <v>1</v>
      </c>
      <c r="B82" s="259">
        <v>2</v>
      </c>
      <c r="C82" s="259">
        <v>3</v>
      </c>
      <c r="D82" s="259">
        <v>4</v>
      </c>
      <c r="E82" s="259">
        <v>5</v>
      </c>
    </row>
    <row r="83" spans="1:9" ht="12.75">
      <c r="A83" s="211">
        <v>1</v>
      </c>
      <c r="B83" s="245" t="s">
        <v>247</v>
      </c>
      <c r="C83" s="243"/>
      <c r="D83" s="244">
        <v>278.5065</v>
      </c>
      <c r="E83" s="252">
        <v>3000</v>
      </c>
      <c r="G83" s="199">
        <v>150000</v>
      </c>
      <c r="H83" s="213">
        <f>SUM(E83:E102)</f>
        <v>150000</v>
      </c>
      <c r="I83" s="213">
        <f>G83-H83</f>
        <v>0</v>
      </c>
    </row>
    <row r="84" spans="1:5" ht="25.5">
      <c r="A84" s="211">
        <v>2</v>
      </c>
      <c r="B84" s="245" t="s">
        <v>248</v>
      </c>
      <c r="C84" s="243"/>
      <c r="D84" s="244">
        <v>113.92</v>
      </c>
      <c r="E84" s="252">
        <v>3000</v>
      </c>
    </row>
    <row r="85" spans="1:5" ht="25.5">
      <c r="A85" s="211">
        <v>3</v>
      </c>
      <c r="B85" s="245" t="s">
        <v>249</v>
      </c>
      <c r="C85" s="243"/>
      <c r="D85" s="244">
        <v>272.06675</v>
      </c>
      <c r="E85" s="252">
        <v>3000</v>
      </c>
    </row>
    <row r="86" spans="1:5" ht="25.5">
      <c r="A86" s="211">
        <v>4</v>
      </c>
      <c r="B86" s="245" t="s">
        <v>250</v>
      </c>
      <c r="C86" s="243"/>
      <c r="D86" s="244">
        <v>400.7834</v>
      </c>
      <c r="E86" s="252">
        <v>3000</v>
      </c>
    </row>
    <row r="87" spans="1:5" ht="25.5">
      <c r="A87" s="211">
        <v>5</v>
      </c>
      <c r="B87" s="245" t="s">
        <v>250</v>
      </c>
      <c r="C87" s="243"/>
      <c r="D87" s="244">
        <v>400.7834</v>
      </c>
      <c r="E87" s="252">
        <v>3000</v>
      </c>
    </row>
    <row r="88" spans="1:5" ht="12.75">
      <c r="A88" s="211">
        <v>6</v>
      </c>
      <c r="B88" s="245" t="s">
        <v>251</v>
      </c>
      <c r="C88" s="243"/>
      <c r="D88" s="244">
        <v>53.48</v>
      </c>
      <c r="E88" s="252">
        <v>1000</v>
      </c>
    </row>
    <row r="89" spans="1:5" ht="12.75">
      <c r="A89" s="211">
        <v>7</v>
      </c>
      <c r="B89" s="245" t="s">
        <v>252</v>
      </c>
      <c r="C89" s="243"/>
      <c r="D89" s="244">
        <v>247.54333333333335</v>
      </c>
      <c r="E89" s="252">
        <v>300</v>
      </c>
    </row>
    <row r="90" spans="1:5" ht="25.5">
      <c r="A90" s="211">
        <v>8</v>
      </c>
      <c r="B90" s="245" t="s">
        <v>253</v>
      </c>
      <c r="C90" s="243">
        <v>250</v>
      </c>
      <c r="D90" s="244">
        <v>26.1</v>
      </c>
      <c r="E90" s="252">
        <f>C90*D90+5000</f>
        <v>11525</v>
      </c>
    </row>
    <row r="91" spans="1:5" ht="12.75">
      <c r="A91" s="211">
        <v>9</v>
      </c>
      <c r="B91" s="245" t="s">
        <v>254</v>
      </c>
      <c r="C91" s="243">
        <v>250</v>
      </c>
      <c r="D91" s="244">
        <v>20.9</v>
      </c>
      <c r="E91" s="252">
        <f>C91*D91+10000</f>
        <v>15225</v>
      </c>
    </row>
    <row r="92" spans="1:5" ht="12.75">
      <c r="A92" s="211">
        <v>10</v>
      </c>
      <c r="B92" s="245" t="s">
        <v>255</v>
      </c>
      <c r="C92" s="243">
        <v>20</v>
      </c>
      <c r="D92" s="244">
        <v>21.22</v>
      </c>
      <c r="E92" s="252">
        <f>C92*D92+2000</f>
        <v>2424.4</v>
      </c>
    </row>
    <row r="93" spans="1:5" ht="38.25">
      <c r="A93" s="211">
        <v>11</v>
      </c>
      <c r="B93" s="245" t="s">
        <v>256</v>
      </c>
      <c r="C93" s="243">
        <v>62</v>
      </c>
      <c r="D93" s="244">
        <v>269.8</v>
      </c>
      <c r="E93" s="252">
        <f>C93*D93+0.58+0.06+6593.36</f>
        <v>23321.600000000006</v>
      </c>
    </row>
    <row r="94" spans="1:5" ht="25.5">
      <c r="A94" s="211">
        <v>12</v>
      </c>
      <c r="B94" s="245" t="s">
        <v>257</v>
      </c>
      <c r="C94" s="243">
        <v>35</v>
      </c>
      <c r="D94" s="244">
        <v>283</v>
      </c>
      <c r="E94" s="252">
        <f aca="true" t="shared" si="4" ref="E94:E100">C94*D94</f>
        <v>9905</v>
      </c>
    </row>
    <row r="95" spans="1:5" ht="25.5">
      <c r="A95" s="211">
        <v>13</v>
      </c>
      <c r="B95" s="245" t="s">
        <v>258</v>
      </c>
      <c r="C95" s="243">
        <v>250</v>
      </c>
      <c r="D95" s="244">
        <v>45.34</v>
      </c>
      <c r="E95" s="252">
        <f t="shared" si="4"/>
        <v>11335</v>
      </c>
    </row>
    <row r="96" spans="1:5" ht="25.5">
      <c r="A96" s="211">
        <v>14</v>
      </c>
      <c r="B96" s="245" t="s">
        <v>259</v>
      </c>
      <c r="C96" s="243">
        <v>10</v>
      </c>
      <c r="D96" s="244">
        <v>2120</v>
      </c>
      <c r="E96" s="252">
        <f t="shared" si="4"/>
        <v>21200</v>
      </c>
    </row>
    <row r="97" spans="1:5" ht="25.5">
      <c r="A97" s="211">
        <v>15</v>
      </c>
      <c r="B97" s="245" t="s">
        <v>260</v>
      </c>
      <c r="C97" s="243">
        <v>50</v>
      </c>
      <c r="D97" s="244">
        <v>20</v>
      </c>
      <c r="E97" s="252">
        <f t="shared" si="4"/>
        <v>1000</v>
      </c>
    </row>
    <row r="98" spans="1:5" ht="25.5">
      <c r="A98" s="211">
        <v>16</v>
      </c>
      <c r="B98" s="245" t="s">
        <v>261</v>
      </c>
      <c r="C98" s="243">
        <v>10</v>
      </c>
      <c r="D98" s="244">
        <v>20</v>
      </c>
      <c r="E98" s="252">
        <f t="shared" si="4"/>
        <v>200</v>
      </c>
    </row>
    <row r="99" spans="1:5" ht="25.5">
      <c r="A99" s="211">
        <v>17</v>
      </c>
      <c r="B99" s="245" t="s">
        <v>262</v>
      </c>
      <c r="C99" s="243">
        <v>30</v>
      </c>
      <c r="D99" s="244">
        <v>20</v>
      </c>
      <c r="E99" s="252">
        <f t="shared" si="4"/>
        <v>600</v>
      </c>
    </row>
    <row r="100" spans="1:5" ht="38.25">
      <c r="A100" s="211">
        <v>18</v>
      </c>
      <c r="B100" s="245" t="s">
        <v>263</v>
      </c>
      <c r="C100" s="243">
        <v>100</v>
      </c>
      <c r="D100" s="244">
        <v>79.64</v>
      </c>
      <c r="E100" s="252">
        <f t="shared" si="4"/>
        <v>7964</v>
      </c>
    </row>
    <row r="101" spans="1:5" s="207" customFormat="1" ht="25.5">
      <c r="A101" s="211">
        <v>19</v>
      </c>
      <c r="B101" s="239" t="s">
        <v>246</v>
      </c>
      <c r="C101" s="211">
        <v>20</v>
      </c>
      <c r="D101" s="240">
        <f>E101/C101</f>
        <v>600</v>
      </c>
      <c r="E101" s="241">
        <f>6000+6000</f>
        <v>12000</v>
      </c>
    </row>
    <row r="102" spans="1:5" s="207" customFormat="1" ht="25.5">
      <c r="A102" s="211">
        <v>20</v>
      </c>
      <c r="B102" s="239" t="s">
        <v>387</v>
      </c>
      <c r="C102" s="211">
        <v>150</v>
      </c>
      <c r="D102" s="240">
        <f>E102/C102</f>
        <v>113.33333333333333</v>
      </c>
      <c r="E102" s="241">
        <f>10000+7000</f>
        <v>17000</v>
      </c>
    </row>
    <row r="103" spans="1:5" ht="14.25">
      <c r="A103" s="267"/>
      <c r="B103" s="268" t="s">
        <v>49</v>
      </c>
      <c r="C103" s="267"/>
      <c r="D103" s="267" t="s">
        <v>50</v>
      </c>
      <c r="E103" s="269">
        <f>SUM(E83:E102)</f>
        <v>150000</v>
      </c>
    </row>
    <row r="105" spans="1:5" ht="14.25">
      <c r="A105" s="373" t="s">
        <v>431</v>
      </c>
      <c r="B105" s="373"/>
      <c r="C105" s="373"/>
      <c r="D105" s="373"/>
      <c r="E105" s="373"/>
    </row>
    <row r="106" spans="1:5" ht="14.25">
      <c r="A106" s="373" t="s">
        <v>436</v>
      </c>
      <c r="B106" s="373"/>
      <c r="C106" s="373"/>
      <c r="D106" s="373"/>
      <c r="E106" s="373"/>
    </row>
    <row r="107" spans="1:5" ht="15">
      <c r="A107" s="116"/>
      <c r="B107" s="116"/>
      <c r="C107" s="116"/>
      <c r="D107" s="116"/>
      <c r="E107" s="116"/>
    </row>
    <row r="108" spans="1:5" ht="15">
      <c r="A108" s="371" t="s">
        <v>402</v>
      </c>
      <c r="B108" s="371"/>
      <c r="C108" s="371"/>
      <c r="D108" s="371"/>
      <c r="E108" s="371"/>
    </row>
    <row r="109" spans="1:5" ht="15">
      <c r="A109" s="389" t="s">
        <v>403</v>
      </c>
      <c r="B109" s="389"/>
      <c r="C109" s="389"/>
      <c r="D109" s="389"/>
      <c r="E109" s="389"/>
    </row>
    <row r="110" spans="1:5" ht="15">
      <c r="A110" s="93"/>
      <c r="B110" s="93"/>
      <c r="C110" s="93"/>
      <c r="D110" s="93"/>
      <c r="E110" s="93"/>
    </row>
    <row r="111" spans="1:5" ht="15">
      <c r="A111" s="371" t="s">
        <v>402</v>
      </c>
      <c r="B111" s="371"/>
      <c r="C111" s="371"/>
      <c r="D111" s="371"/>
      <c r="E111" s="371"/>
    </row>
    <row r="112" spans="1:5" ht="15">
      <c r="A112" s="389" t="s">
        <v>403</v>
      </c>
      <c r="B112" s="389"/>
      <c r="C112" s="389"/>
      <c r="D112" s="389"/>
      <c r="E112" s="389"/>
    </row>
    <row r="113" spans="1:6" ht="15">
      <c r="A113" s="256"/>
      <c r="C113" s="257"/>
      <c r="F113" s="258" t="e">
        <f>SUM(#REF!)</f>
        <v>#REF!</v>
      </c>
    </row>
    <row r="114" spans="1:5" ht="30">
      <c r="A114" s="16" t="s">
        <v>40</v>
      </c>
      <c r="B114" s="16" t="s">
        <v>51</v>
      </c>
      <c r="C114" s="16" t="s">
        <v>88</v>
      </c>
      <c r="D114" s="16" t="s">
        <v>95</v>
      </c>
      <c r="E114" s="16" t="s">
        <v>96</v>
      </c>
    </row>
    <row r="115" spans="1:5" ht="12.75" customHeight="1">
      <c r="A115" s="259">
        <v>1</v>
      </c>
      <c r="B115" s="259">
        <v>2</v>
      </c>
      <c r="C115" s="259">
        <v>3</v>
      </c>
      <c r="D115" s="259">
        <v>4</v>
      </c>
      <c r="E115" s="259">
        <v>5</v>
      </c>
    </row>
    <row r="116" spans="1:5" s="207" customFormat="1" ht="15">
      <c r="A116" s="211">
        <v>1</v>
      </c>
      <c r="B116" s="239" t="s">
        <v>438</v>
      </c>
      <c r="C116" s="211">
        <v>25</v>
      </c>
      <c r="D116" s="240">
        <f>E116/C116</f>
        <v>2000</v>
      </c>
      <c r="E116" s="241">
        <v>50000</v>
      </c>
    </row>
    <row r="117" spans="1:5" ht="14.25">
      <c r="A117" s="267"/>
      <c r="B117" s="268" t="s">
        <v>49</v>
      </c>
      <c r="C117" s="267"/>
      <c r="D117" s="267" t="s">
        <v>50</v>
      </c>
      <c r="E117" s="269">
        <f>E116</f>
        <v>50000</v>
      </c>
    </row>
  </sheetData>
  <sheetProtection/>
  <mergeCells count="14">
    <mergeCell ref="A105:E105"/>
    <mergeCell ref="A106:E106"/>
    <mergeCell ref="A108:E108"/>
    <mergeCell ref="A109:E109"/>
    <mergeCell ref="A111:E111"/>
    <mergeCell ref="A112:E112"/>
    <mergeCell ref="A1:E1"/>
    <mergeCell ref="A2:E2"/>
    <mergeCell ref="A4:E4"/>
    <mergeCell ref="A3:E3"/>
    <mergeCell ref="A75:E75"/>
    <mergeCell ref="A76:E76"/>
    <mergeCell ref="A78:E78"/>
    <mergeCell ref="A79:E79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6" r:id="rId1"/>
  <rowBreaks count="1" manualBreakCount="1">
    <brk id="7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D51"/>
  <sheetViews>
    <sheetView view="pageBreakPreview" zoomScaleSheetLayoutView="100" zoomScalePageLayoutView="0" workbookViewId="0" topLeftCell="A28">
      <selection activeCell="EG41" sqref="EG41"/>
    </sheetView>
  </sheetViews>
  <sheetFormatPr defaultColWidth="9.00390625" defaultRowHeight="12.75"/>
  <cols>
    <col min="1" max="128" width="0.875" style="87" customWidth="1"/>
    <col min="129" max="129" width="1.25" style="136" customWidth="1"/>
    <col min="130" max="16384" width="9.125" style="136" customWidth="1"/>
  </cols>
  <sheetData>
    <row r="1" s="87" customFormat="1" ht="3" customHeight="1"/>
    <row r="2" spans="1:134" s="80" customFormat="1" ht="24.75" customHeight="1">
      <c r="A2" s="291" t="s">
        <v>293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V2" s="291"/>
      <c r="CW2" s="291"/>
      <c r="CX2" s="291"/>
      <c r="CY2" s="291"/>
      <c r="CZ2" s="291"/>
      <c r="DA2" s="291"/>
      <c r="DB2" s="291"/>
      <c r="DC2" s="291"/>
      <c r="DD2" s="291"/>
      <c r="DE2" s="291"/>
      <c r="DF2" s="291"/>
      <c r="DG2" s="291"/>
      <c r="DH2" s="291"/>
      <c r="DI2" s="291"/>
      <c r="DJ2" s="291"/>
      <c r="DK2" s="291"/>
      <c r="DL2" s="291"/>
      <c r="DM2" s="291"/>
      <c r="DN2" s="291"/>
      <c r="DO2" s="291"/>
      <c r="DP2" s="291"/>
      <c r="DQ2" s="291"/>
      <c r="DR2" s="291"/>
      <c r="DS2" s="291"/>
      <c r="DT2" s="291"/>
      <c r="DU2" s="291"/>
      <c r="DV2" s="291"/>
      <c r="DW2" s="291"/>
      <c r="DX2" s="291"/>
      <c r="DY2" s="291"/>
      <c r="DZ2" s="291"/>
      <c r="EA2" s="291"/>
      <c r="EB2" s="291"/>
      <c r="EC2" s="291"/>
      <c r="ED2" s="291"/>
    </row>
    <row r="3" spans="1:128" s="80" customFormat="1" ht="9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</row>
    <row r="4" spans="1:134" s="87" customFormat="1" ht="19.5" customHeight="1">
      <c r="A4" s="288" t="s">
        <v>294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  <c r="DG4" s="288"/>
      <c r="DH4" s="288"/>
      <c r="DI4" s="288"/>
      <c r="DJ4" s="288"/>
      <c r="DK4" s="288"/>
      <c r="DL4" s="288"/>
      <c r="DM4" s="288"/>
      <c r="DN4" s="288"/>
      <c r="DO4" s="288"/>
      <c r="DP4" s="288"/>
      <c r="DQ4" s="288"/>
      <c r="DR4" s="288"/>
      <c r="DS4" s="288"/>
      <c r="DT4" s="288"/>
      <c r="DU4" s="288"/>
      <c r="DV4" s="288"/>
      <c r="DW4" s="288"/>
      <c r="DX4" s="288"/>
      <c r="DY4" s="288"/>
      <c r="DZ4" s="288"/>
      <c r="EA4" s="288"/>
      <c r="EB4" s="288"/>
      <c r="EC4" s="288"/>
      <c r="ED4" s="288"/>
    </row>
    <row r="5" spans="1:134" s="87" customFormat="1" ht="16.5" customHeight="1">
      <c r="A5" s="288" t="s">
        <v>295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288"/>
      <c r="CU5" s="288"/>
      <c r="CV5" s="288"/>
      <c r="CW5" s="288"/>
      <c r="CX5" s="288"/>
      <c r="CY5" s="288"/>
      <c r="CZ5" s="288"/>
      <c r="DA5" s="288"/>
      <c r="DB5" s="288"/>
      <c r="DC5" s="288"/>
      <c r="DD5" s="288"/>
      <c r="DE5" s="288"/>
      <c r="DF5" s="288"/>
      <c r="DG5" s="288"/>
      <c r="DH5" s="288"/>
      <c r="DI5" s="288"/>
      <c r="DJ5" s="288"/>
      <c r="DK5" s="288"/>
      <c r="DL5" s="288"/>
      <c r="DM5" s="288"/>
      <c r="DN5" s="288"/>
      <c r="DO5" s="288"/>
      <c r="DP5" s="288"/>
      <c r="DQ5" s="288"/>
      <c r="DR5" s="288"/>
      <c r="DS5" s="288"/>
      <c r="DT5" s="288"/>
      <c r="DU5" s="288"/>
      <c r="DV5" s="288"/>
      <c r="DW5" s="288"/>
      <c r="DX5" s="288"/>
      <c r="DY5" s="288"/>
      <c r="DZ5" s="288"/>
      <c r="EA5" s="288"/>
      <c r="EB5" s="288"/>
      <c r="EC5" s="288"/>
      <c r="ED5" s="288"/>
    </row>
    <row r="6" spans="1:134" s="87" customFormat="1" ht="14.25" customHeight="1">
      <c r="A6" s="288" t="s">
        <v>296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  <c r="DD6" s="288"/>
      <c r="DE6" s="288"/>
      <c r="DF6" s="288"/>
      <c r="DG6" s="288"/>
      <c r="DH6" s="288"/>
      <c r="DI6" s="288"/>
      <c r="DJ6" s="288"/>
      <c r="DK6" s="288"/>
      <c r="DL6" s="288"/>
      <c r="DM6" s="288"/>
      <c r="DN6" s="288"/>
      <c r="DO6" s="288"/>
      <c r="DP6" s="288"/>
      <c r="DQ6" s="288"/>
      <c r="DR6" s="288"/>
      <c r="DS6" s="288"/>
      <c r="DT6" s="288"/>
      <c r="DU6" s="288"/>
      <c r="DV6" s="288"/>
      <c r="DW6" s="288"/>
      <c r="DX6" s="288"/>
      <c r="DY6" s="288"/>
      <c r="DZ6" s="288"/>
      <c r="EA6" s="288"/>
      <c r="EB6" s="288"/>
      <c r="EC6" s="288"/>
      <c r="ED6" s="288"/>
    </row>
    <row r="7" spans="1:134" s="87" customFormat="1" ht="15.75">
      <c r="A7" s="288" t="s">
        <v>297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  <c r="DD7" s="288"/>
      <c r="DE7" s="288"/>
      <c r="DF7" s="288"/>
      <c r="DG7" s="288"/>
      <c r="DH7" s="288"/>
      <c r="DI7" s="288"/>
      <c r="DJ7" s="288"/>
      <c r="DK7" s="288"/>
      <c r="DL7" s="288"/>
      <c r="DM7" s="288"/>
      <c r="DN7" s="288"/>
      <c r="DO7" s="288"/>
      <c r="DP7" s="288"/>
      <c r="DQ7" s="288"/>
      <c r="DR7" s="288"/>
      <c r="DS7" s="288"/>
      <c r="DT7" s="288"/>
      <c r="DU7" s="288"/>
      <c r="DV7" s="288"/>
      <c r="DW7" s="288"/>
      <c r="DX7" s="288"/>
      <c r="DY7" s="288"/>
      <c r="DZ7" s="288"/>
      <c r="EA7" s="288"/>
      <c r="EB7" s="288"/>
      <c r="EC7" s="288"/>
      <c r="ED7" s="288"/>
    </row>
    <row r="8" spans="1:134" s="87" customFormat="1" ht="15.75">
      <c r="A8" s="288" t="s">
        <v>298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8"/>
      <c r="DJ8" s="288"/>
      <c r="DK8" s="288"/>
      <c r="DL8" s="288"/>
      <c r="DM8" s="288"/>
      <c r="DN8" s="288"/>
      <c r="DO8" s="288"/>
      <c r="DP8" s="288"/>
      <c r="DQ8" s="288"/>
      <c r="DR8" s="288"/>
      <c r="DS8" s="288"/>
      <c r="DT8" s="288"/>
      <c r="DU8" s="288"/>
      <c r="DV8" s="288"/>
      <c r="DW8" s="288"/>
      <c r="DX8" s="288"/>
      <c r="DY8" s="288"/>
      <c r="DZ8" s="288"/>
      <c r="EA8" s="288"/>
      <c r="EB8" s="288"/>
      <c r="EC8" s="288"/>
      <c r="ED8" s="288"/>
    </row>
    <row r="9" spans="1:134" s="87" customFormat="1" ht="51" customHeight="1">
      <c r="A9" s="290" t="s">
        <v>299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0"/>
      <c r="DB9" s="290"/>
      <c r="DC9" s="290"/>
      <c r="DD9" s="290"/>
      <c r="DE9" s="290"/>
      <c r="DF9" s="290"/>
      <c r="DG9" s="290"/>
      <c r="DH9" s="290"/>
      <c r="DI9" s="290"/>
      <c r="DJ9" s="290"/>
      <c r="DK9" s="290"/>
      <c r="DL9" s="290"/>
      <c r="DM9" s="290"/>
      <c r="DN9" s="290"/>
      <c r="DO9" s="290"/>
      <c r="DP9" s="290"/>
      <c r="DQ9" s="290"/>
      <c r="DR9" s="290"/>
      <c r="DS9" s="290"/>
      <c r="DT9" s="290"/>
      <c r="DU9" s="290"/>
      <c r="DV9" s="290"/>
      <c r="DW9" s="290"/>
      <c r="DX9" s="290"/>
      <c r="DY9" s="290"/>
      <c r="DZ9" s="290"/>
      <c r="EA9" s="290"/>
      <c r="EB9" s="290"/>
      <c r="EC9" s="290"/>
      <c r="ED9" s="290"/>
    </row>
    <row r="10" spans="1:134" s="87" customFormat="1" ht="32.25" customHeight="1">
      <c r="A10" s="288" t="s">
        <v>300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288"/>
      <c r="DG10" s="288"/>
      <c r="DH10" s="288"/>
      <c r="DI10" s="288"/>
      <c r="DJ10" s="288"/>
      <c r="DK10" s="288"/>
      <c r="DL10" s="288"/>
      <c r="DM10" s="288"/>
      <c r="DN10" s="288"/>
      <c r="DO10" s="288"/>
      <c r="DP10" s="288"/>
      <c r="DQ10" s="288"/>
      <c r="DR10" s="288"/>
      <c r="DS10" s="288"/>
      <c r="DT10" s="288"/>
      <c r="DU10" s="288"/>
      <c r="DV10" s="288"/>
      <c r="DW10" s="288"/>
      <c r="DX10" s="288"/>
      <c r="DY10" s="288"/>
      <c r="DZ10" s="288"/>
      <c r="EA10" s="288"/>
      <c r="EB10" s="288"/>
      <c r="EC10" s="288"/>
      <c r="ED10" s="288"/>
    </row>
    <row r="11" spans="1:134" s="87" customFormat="1" ht="15.75">
      <c r="A11" s="288" t="s">
        <v>301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8"/>
      <c r="DI11" s="288"/>
      <c r="DJ11" s="288"/>
      <c r="DK11" s="288"/>
      <c r="DL11" s="288"/>
      <c r="DM11" s="288"/>
      <c r="DN11" s="288"/>
      <c r="DO11" s="288"/>
      <c r="DP11" s="288"/>
      <c r="DQ11" s="288"/>
      <c r="DR11" s="288"/>
      <c r="DS11" s="288"/>
      <c r="DT11" s="288"/>
      <c r="DU11" s="288"/>
      <c r="DV11" s="288"/>
      <c r="DW11" s="288"/>
      <c r="DX11" s="288"/>
      <c r="DY11" s="288"/>
      <c r="DZ11" s="288"/>
      <c r="EA11" s="288"/>
      <c r="EB11" s="288"/>
      <c r="EC11" s="288"/>
      <c r="ED11" s="288"/>
    </row>
    <row r="12" spans="1:134" s="87" customFormat="1" ht="15.75">
      <c r="A12" s="289" t="s">
        <v>302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89"/>
      <c r="BU12" s="289"/>
      <c r="BV12" s="289"/>
      <c r="BW12" s="289"/>
      <c r="BX12" s="289"/>
      <c r="BY12" s="289"/>
      <c r="BZ12" s="289"/>
      <c r="CA12" s="289"/>
      <c r="CB12" s="289"/>
      <c r="CC12" s="289"/>
      <c r="CD12" s="289"/>
      <c r="CE12" s="289"/>
      <c r="CF12" s="289"/>
      <c r="CG12" s="289"/>
      <c r="CH12" s="289"/>
      <c r="CI12" s="289"/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289"/>
      <c r="DA12" s="289"/>
      <c r="DB12" s="289"/>
      <c r="DC12" s="289"/>
      <c r="DD12" s="289"/>
      <c r="DE12" s="289"/>
      <c r="DF12" s="289"/>
      <c r="DG12" s="289"/>
      <c r="DH12" s="289"/>
      <c r="DI12" s="289"/>
      <c r="DJ12" s="289"/>
      <c r="DK12" s="289"/>
      <c r="DL12" s="289"/>
      <c r="DM12" s="289"/>
      <c r="DN12" s="289"/>
      <c r="DO12" s="289"/>
      <c r="DP12" s="289"/>
      <c r="DQ12" s="289"/>
      <c r="DR12" s="289"/>
      <c r="DS12" s="289"/>
      <c r="DT12" s="289"/>
      <c r="DU12" s="289"/>
      <c r="DV12" s="289"/>
      <c r="DW12" s="289"/>
      <c r="DX12" s="289"/>
      <c r="DY12" s="289"/>
      <c r="DZ12" s="289"/>
      <c r="EA12" s="289"/>
      <c r="EB12" s="289"/>
      <c r="EC12" s="289"/>
      <c r="ED12" s="289"/>
    </row>
    <row r="13" spans="1:134" s="87" customFormat="1" ht="15.75">
      <c r="A13" s="288" t="s">
        <v>303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  <c r="DD13" s="288"/>
      <c r="DE13" s="288"/>
      <c r="DF13" s="288"/>
      <c r="DG13" s="288"/>
      <c r="DH13" s="288"/>
      <c r="DI13" s="288"/>
      <c r="DJ13" s="288"/>
      <c r="DK13" s="288"/>
      <c r="DL13" s="288"/>
      <c r="DM13" s="288"/>
      <c r="DN13" s="288"/>
      <c r="DO13" s="288"/>
      <c r="DP13" s="288"/>
      <c r="DQ13" s="288"/>
      <c r="DR13" s="288"/>
      <c r="DS13" s="288"/>
      <c r="DT13" s="288"/>
      <c r="DU13" s="288"/>
      <c r="DV13" s="288"/>
      <c r="DW13" s="288"/>
      <c r="DX13" s="288"/>
      <c r="DY13" s="288"/>
      <c r="DZ13" s="288"/>
      <c r="EA13" s="288"/>
      <c r="EB13" s="288"/>
      <c r="EC13" s="288"/>
      <c r="ED13" s="288"/>
    </row>
    <row r="14" spans="1:134" s="87" customFormat="1" ht="15.75">
      <c r="A14" s="288" t="s">
        <v>304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  <c r="DD14" s="288"/>
      <c r="DE14" s="288"/>
      <c r="DF14" s="288"/>
      <c r="DG14" s="288"/>
      <c r="DH14" s="288"/>
      <c r="DI14" s="288"/>
      <c r="DJ14" s="288"/>
      <c r="DK14" s="288"/>
      <c r="DL14" s="288"/>
      <c r="DM14" s="288"/>
      <c r="DN14" s="288"/>
      <c r="DO14" s="288"/>
      <c r="DP14" s="288"/>
      <c r="DQ14" s="288"/>
      <c r="DR14" s="288"/>
      <c r="DS14" s="288"/>
      <c r="DT14" s="288"/>
      <c r="DU14" s="288"/>
      <c r="DV14" s="288"/>
      <c r="DW14" s="288"/>
      <c r="DX14" s="288"/>
      <c r="DY14" s="288"/>
      <c r="DZ14" s="288"/>
      <c r="EA14" s="288"/>
      <c r="EB14" s="288"/>
      <c r="EC14" s="288"/>
      <c r="ED14" s="288"/>
    </row>
    <row r="15" spans="1:134" s="87" customFormat="1" ht="15" customHeight="1">
      <c r="A15" s="288" t="s">
        <v>305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  <c r="CZ15" s="288"/>
      <c r="DA15" s="288"/>
      <c r="DB15" s="288"/>
      <c r="DC15" s="288"/>
      <c r="DD15" s="288"/>
      <c r="DE15" s="288"/>
      <c r="DF15" s="288"/>
      <c r="DG15" s="288"/>
      <c r="DH15" s="288"/>
      <c r="DI15" s="288"/>
      <c r="DJ15" s="288"/>
      <c r="DK15" s="288"/>
      <c r="DL15" s="288"/>
      <c r="DM15" s="288"/>
      <c r="DN15" s="288"/>
      <c r="DO15" s="288"/>
      <c r="DP15" s="288"/>
      <c r="DQ15" s="288"/>
      <c r="DR15" s="288"/>
      <c r="DS15" s="288"/>
      <c r="DT15" s="288"/>
      <c r="DU15" s="288"/>
      <c r="DV15" s="288"/>
      <c r="DW15" s="288"/>
      <c r="DX15" s="288"/>
      <c r="DY15" s="288"/>
      <c r="DZ15" s="288"/>
      <c r="EA15" s="288"/>
      <c r="EB15" s="288"/>
      <c r="EC15" s="288"/>
      <c r="ED15" s="288"/>
    </row>
    <row r="16" spans="1:134" s="87" customFormat="1" ht="16.5" customHeight="1">
      <c r="A16" s="288" t="s">
        <v>306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8"/>
      <c r="BH16" s="288"/>
      <c r="BI16" s="288"/>
      <c r="BJ16" s="288"/>
      <c r="BK16" s="288"/>
      <c r="BL16" s="288"/>
      <c r="BM16" s="288"/>
      <c r="BN16" s="288"/>
      <c r="BO16" s="288"/>
      <c r="BP16" s="288"/>
      <c r="BQ16" s="288"/>
      <c r="BR16" s="288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8"/>
      <c r="CD16" s="288"/>
      <c r="CE16" s="288"/>
      <c r="CF16" s="288"/>
      <c r="CG16" s="288"/>
      <c r="CH16" s="288"/>
      <c r="CI16" s="288"/>
      <c r="CJ16" s="288"/>
      <c r="CK16" s="288"/>
      <c r="CL16" s="288"/>
      <c r="CM16" s="288"/>
      <c r="CN16" s="288"/>
      <c r="CO16" s="288"/>
      <c r="CP16" s="288"/>
      <c r="CQ16" s="288"/>
      <c r="CR16" s="288"/>
      <c r="CS16" s="288"/>
      <c r="CT16" s="288"/>
      <c r="CU16" s="288"/>
      <c r="CV16" s="288"/>
      <c r="CW16" s="288"/>
      <c r="CX16" s="288"/>
      <c r="CY16" s="288"/>
      <c r="CZ16" s="288"/>
      <c r="DA16" s="288"/>
      <c r="DB16" s="288"/>
      <c r="DC16" s="288"/>
      <c r="DD16" s="288"/>
      <c r="DE16" s="288"/>
      <c r="DF16" s="288"/>
      <c r="DG16" s="288"/>
      <c r="DH16" s="288"/>
      <c r="DI16" s="288"/>
      <c r="DJ16" s="288"/>
      <c r="DK16" s="288"/>
      <c r="DL16" s="288"/>
      <c r="DM16" s="288"/>
      <c r="DN16" s="288"/>
      <c r="DO16" s="288"/>
      <c r="DP16" s="288"/>
      <c r="DQ16" s="288"/>
      <c r="DR16" s="288"/>
      <c r="DS16" s="288"/>
      <c r="DT16" s="288"/>
      <c r="DU16" s="288"/>
      <c r="DV16" s="288"/>
      <c r="DW16" s="288"/>
      <c r="DX16" s="288"/>
      <c r="DY16" s="288"/>
      <c r="DZ16" s="288"/>
      <c r="EA16" s="288"/>
      <c r="EB16" s="288"/>
      <c r="EC16" s="288"/>
      <c r="ED16" s="288"/>
    </row>
    <row r="17" spans="1:134" s="87" customFormat="1" ht="14.25" customHeight="1">
      <c r="A17" s="288" t="s">
        <v>307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/>
      <c r="BI17" s="288"/>
      <c r="BJ17" s="288"/>
      <c r="BK17" s="288"/>
      <c r="BL17" s="288"/>
      <c r="BM17" s="288"/>
      <c r="BN17" s="288"/>
      <c r="BO17" s="288"/>
      <c r="BP17" s="288"/>
      <c r="BQ17" s="288"/>
      <c r="BR17" s="288"/>
      <c r="BS17" s="288"/>
      <c r="BT17" s="288"/>
      <c r="BU17" s="288"/>
      <c r="BV17" s="288"/>
      <c r="BW17" s="288"/>
      <c r="BX17" s="288"/>
      <c r="BY17" s="288"/>
      <c r="BZ17" s="288"/>
      <c r="CA17" s="288"/>
      <c r="CB17" s="288"/>
      <c r="CC17" s="288"/>
      <c r="CD17" s="288"/>
      <c r="CE17" s="288"/>
      <c r="CF17" s="288"/>
      <c r="CG17" s="288"/>
      <c r="CH17" s="288"/>
      <c r="CI17" s="288"/>
      <c r="CJ17" s="288"/>
      <c r="CK17" s="288"/>
      <c r="CL17" s="288"/>
      <c r="CM17" s="288"/>
      <c r="CN17" s="288"/>
      <c r="CO17" s="288"/>
      <c r="CP17" s="288"/>
      <c r="CQ17" s="288"/>
      <c r="CR17" s="288"/>
      <c r="CS17" s="288"/>
      <c r="CT17" s="288"/>
      <c r="CU17" s="288"/>
      <c r="CV17" s="288"/>
      <c r="CW17" s="288"/>
      <c r="CX17" s="288"/>
      <c r="CY17" s="288"/>
      <c r="CZ17" s="288"/>
      <c r="DA17" s="288"/>
      <c r="DB17" s="288"/>
      <c r="DC17" s="288"/>
      <c r="DD17" s="288"/>
      <c r="DE17" s="288"/>
      <c r="DF17" s="288"/>
      <c r="DG17" s="288"/>
      <c r="DH17" s="288"/>
      <c r="DI17" s="288"/>
      <c r="DJ17" s="288"/>
      <c r="DK17" s="288"/>
      <c r="DL17" s="288"/>
      <c r="DM17" s="288"/>
      <c r="DN17" s="288"/>
      <c r="DO17" s="288"/>
      <c r="DP17" s="288"/>
      <c r="DQ17" s="288"/>
      <c r="DR17" s="288"/>
      <c r="DS17" s="288"/>
      <c r="DT17" s="288"/>
      <c r="DU17" s="288"/>
      <c r="DV17" s="288"/>
      <c r="DW17" s="288"/>
      <c r="DX17" s="288"/>
      <c r="DY17" s="288"/>
      <c r="DZ17" s="288"/>
      <c r="EA17" s="288"/>
      <c r="EB17" s="288"/>
      <c r="EC17" s="288"/>
      <c r="ED17" s="288"/>
    </row>
    <row r="18" spans="1:134" s="87" customFormat="1" ht="15.75">
      <c r="A18" s="288" t="s">
        <v>308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8"/>
      <c r="BE18" s="288"/>
      <c r="BF18" s="288"/>
      <c r="BG18" s="288"/>
      <c r="BH18" s="288"/>
      <c r="BI18" s="288"/>
      <c r="BJ18" s="288"/>
      <c r="BK18" s="288"/>
      <c r="BL18" s="288"/>
      <c r="BM18" s="288"/>
      <c r="BN18" s="288"/>
      <c r="BO18" s="288"/>
      <c r="BP18" s="288"/>
      <c r="BQ18" s="288"/>
      <c r="BR18" s="288"/>
      <c r="BS18" s="288"/>
      <c r="BT18" s="288"/>
      <c r="BU18" s="288"/>
      <c r="BV18" s="288"/>
      <c r="BW18" s="288"/>
      <c r="BX18" s="288"/>
      <c r="BY18" s="288"/>
      <c r="BZ18" s="288"/>
      <c r="CA18" s="288"/>
      <c r="CB18" s="288"/>
      <c r="CC18" s="288"/>
      <c r="CD18" s="288"/>
      <c r="CE18" s="288"/>
      <c r="CF18" s="288"/>
      <c r="CG18" s="288"/>
      <c r="CH18" s="288"/>
      <c r="CI18" s="288"/>
      <c r="CJ18" s="288"/>
      <c r="CK18" s="288"/>
      <c r="CL18" s="288"/>
      <c r="CM18" s="288"/>
      <c r="CN18" s="288"/>
      <c r="CO18" s="288"/>
      <c r="CP18" s="288"/>
      <c r="CQ18" s="288"/>
      <c r="CR18" s="288"/>
      <c r="CS18" s="288"/>
      <c r="CT18" s="288"/>
      <c r="CU18" s="288"/>
      <c r="CV18" s="288"/>
      <c r="CW18" s="288"/>
      <c r="CX18" s="288"/>
      <c r="CY18" s="288"/>
      <c r="CZ18" s="288"/>
      <c r="DA18" s="288"/>
      <c r="DB18" s="288"/>
      <c r="DC18" s="288"/>
      <c r="DD18" s="288"/>
      <c r="DE18" s="288"/>
      <c r="DF18" s="288"/>
      <c r="DG18" s="288"/>
      <c r="DH18" s="288"/>
      <c r="DI18" s="288"/>
      <c r="DJ18" s="288"/>
      <c r="DK18" s="288"/>
      <c r="DL18" s="288"/>
      <c r="DM18" s="288"/>
      <c r="DN18" s="288"/>
      <c r="DO18" s="288"/>
      <c r="DP18" s="288"/>
      <c r="DQ18" s="288"/>
      <c r="DR18" s="288"/>
      <c r="DS18" s="288"/>
      <c r="DT18" s="288"/>
      <c r="DU18" s="288"/>
      <c r="DV18" s="288"/>
      <c r="DW18" s="288"/>
      <c r="DX18" s="288"/>
      <c r="DY18" s="288"/>
      <c r="DZ18" s="288"/>
      <c r="EA18" s="288"/>
      <c r="EB18" s="288"/>
      <c r="EC18" s="288"/>
      <c r="ED18" s="288"/>
    </row>
    <row r="19" spans="1:134" s="87" customFormat="1" ht="15.75">
      <c r="A19" s="288" t="s">
        <v>309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  <c r="BU19" s="288"/>
      <c r="BV19" s="288"/>
      <c r="BW19" s="288"/>
      <c r="BX19" s="288"/>
      <c r="BY19" s="288"/>
      <c r="BZ19" s="288"/>
      <c r="CA19" s="288"/>
      <c r="CB19" s="288"/>
      <c r="CC19" s="288"/>
      <c r="CD19" s="288"/>
      <c r="CE19" s="288"/>
      <c r="CF19" s="288"/>
      <c r="CG19" s="288"/>
      <c r="CH19" s="288"/>
      <c r="CI19" s="288"/>
      <c r="CJ19" s="288"/>
      <c r="CK19" s="288"/>
      <c r="CL19" s="288"/>
      <c r="CM19" s="288"/>
      <c r="CN19" s="288"/>
      <c r="CO19" s="288"/>
      <c r="CP19" s="288"/>
      <c r="CQ19" s="288"/>
      <c r="CR19" s="288"/>
      <c r="CS19" s="288"/>
      <c r="CT19" s="288"/>
      <c r="CU19" s="288"/>
      <c r="CV19" s="288"/>
      <c r="CW19" s="288"/>
      <c r="CX19" s="288"/>
      <c r="CY19" s="288"/>
      <c r="CZ19" s="288"/>
      <c r="DA19" s="288"/>
      <c r="DB19" s="288"/>
      <c r="DC19" s="288"/>
      <c r="DD19" s="288"/>
      <c r="DE19" s="288"/>
      <c r="DF19" s="288"/>
      <c r="DG19" s="288"/>
      <c r="DH19" s="288"/>
      <c r="DI19" s="288"/>
      <c r="DJ19" s="288"/>
      <c r="DK19" s="288"/>
      <c r="DL19" s="288"/>
      <c r="DM19" s="288"/>
      <c r="DN19" s="288"/>
      <c r="DO19" s="288"/>
      <c r="DP19" s="288"/>
      <c r="DQ19" s="288"/>
      <c r="DR19" s="288"/>
      <c r="DS19" s="288"/>
      <c r="DT19" s="288"/>
      <c r="DU19" s="288"/>
      <c r="DV19" s="288"/>
      <c r="DW19" s="288"/>
      <c r="DX19" s="288"/>
      <c r="DY19" s="288"/>
      <c r="DZ19" s="288"/>
      <c r="EA19" s="288"/>
      <c r="EB19" s="288"/>
      <c r="EC19" s="288"/>
      <c r="ED19" s="288"/>
    </row>
    <row r="20" spans="1:134" s="87" customFormat="1" ht="15.75">
      <c r="A20" s="288" t="s">
        <v>310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  <c r="DD20" s="288"/>
      <c r="DE20" s="288"/>
      <c r="DF20" s="288"/>
      <c r="DG20" s="288"/>
      <c r="DH20" s="288"/>
      <c r="DI20" s="288"/>
      <c r="DJ20" s="288"/>
      <c r="DK20" s="288"/>
      <c r="DL20" s="288"/>
      <c r="DM20" s="288"/>
      <c r="DN20" s="288"/>
      <c r="DO20" s="288"/>
      <c r="DP20" s="288"/>
      <c r="DQ20" s="288"/>
      <c r="DR20" s="288"/>
      <c r="DS20" s="288"/>
      <c r="DT20" s="288"/>
      <c r="DU20" s="288"/>
      <c r="DV20" s="288"/>
      <c r="DW20" s="288"/>
      <c r="DX20" s="288"/>
      <c r="DY20" s="288"/>
      <c r="DZ20" s="288"/>
      <c r="EA20" s="288"/>
      <c r="EB20" s="288"/>
      <c r="EC20" s="288"/>
      <c r="ED20" s="288"/>
    </row>
    <row r="21" spans="1:134" s="87" customFormat="1" ht="15.75">
      <c r="A21" s="288" t="s">
        <v>311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288"/>
      <c r="CN21" s="288"/>
      <c r="CO21" s="288"/>
      <c r="CP21" s="288"/>
      <c r="CQ21" s="288"/>
      <c r="CR21" s="288"/>
      <c r="CS21" s="288"/>
      <c r="CT21" s="288"/>
      <c r="CU21" s="288"/>
      <c r="CV21" s="288"/>
      <c r="CW21" s="288"/>
      <c r="CX21" s="288"/>
      <c r="CY21" s="288"/>
      <c r="CZ21" s="288"/>
      <c r="DA21" s="288"/>
      <c r="DB21" s="288"/>
      <c r="DC21" s="288"/>
      <c r="DD21" s="288"/>
      <c r="DE21" s="288"/>
      <c r="DF21" s="288"/>
      <c r="DG21" s="288"/>
      <c r="DH21" s="288"/>
      <c r="DI21" s="288"/>
      <c r="DJ21" s="288"/>
      <c r="DK21" s="288"/>
      <c r="DL21" s="288"/>
      <c r="DM21" s="288"/>
      <c r="DN21" s="288"/>
      <c r="DO21" s="288"/>
      <c r="DP21" s="288"/>
      <c r="DQ21" s="288"/>
      <c r="DR21" s="288"/>
      <c r="DS21" s="288"/>
      <c r="DT21" s="288"/>
      <c r="DU21" s="288"/>
      <c r="DV21" s="288"/>
      <c r="DW21" s="288"/>
      <c r="DX21" s="288"/>
      <c r="DY21" s="288"/>
      <c r="DZ21" s="288"/>
      <c r="EA21" s="288"/>
      <c r="EB21" s="288"/>
      <c r="EC21" s="288"/>
      <c r="ED21" s="288"/>
    </row>
    <row r="22" spans="1:134" s="87" customFormat="1" ht="15.75">
      <c r="A22" s="288" t="s">
        <v>312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/>
      <c r="CN22" s="288"/>
      <c r="CO22" s="288"/>
      <c r="CP22" s="288"/>
      <c r="CQ22" s="288"/>
      <c r="CR22" s="288"/>
      <c r="CS22" s="288"/>
      <c r="CT22" s="288"/>
      <c r="CU22" s="288"/>
      <c r="CV22" s="288"/>
      <c r="CW22" s="288"/>
      <c r="CX22" s="288"/>
      <c r="CY22" s="288"/>
      <c r="CZ22" s="288"/>
      <c r="DA22" s="288"/>
      <c r="DB22" s="288"/>
      <c r="DC22" s="288"/>
      <c r="DD22" s="288"/>
      <c r="DE22" s="288"/>
      <c r="DF22" s="288"/>
      <c r="DG22" s="288"/>
      <c r="DH22" s="288"/>
      <c r="DI22" s="288"/>
      <c r="DJ22" s="288"/>
      <c r="DK22" s="288"/>
      <c r="DL22" s="288"/>
      <c r="DM22" s="288"/>
      <c r="DN22" s="288"/>
      <c r="DO22" s="288"/>
      <c r="DP22" s="288"/>
      <c r="DQ22" s="288"/>
      <c r="DR22" s="288"/>
      <c r="DS22" s="288"/>
      <c r="DT22" s="288"/>
      <c r="DU22" s="288"/>
      <c r="DV22" s="288"/>
      <c r="DW22" s="288"/>
      <c r="DX22" s="288"/>
      <c r="DY22" s="288"/>
      <c r="DZ22" s="288"/>
      <c r="EA22" s="288"/>
      <c r="EB22" s="288"/>
      <c r="EC22" s="288"/>
      <c r="ED22" s="288"/>
    </row>
    <row r="23" spans="1:134" s="87" customFormat="1" ht="15.75">
      <c r="A23" s="289" t="s">
        <v>313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9"/>
      <c r="CA23" s="289"/>
      <c r="CB23" s="289"/>
      <c r="CC23" s="289"/>
      <c r="CD23" s="289"/>
      <c r="CE23" s="289"/>
      <c r="CF23" s="289"/>
      <c r="CG23" s="289"/>
      <c r="CH23" s="289"/>
      <c r="CI23" s="289"/>
      <c r="CJ23" s="289"/>
      <c r="CK23" s="289"/>
      <c r="CL23" s="289"/>
      <c r="CM23" s="289"/>
      <c r="CN23" s="289"/>
      <c r="CO23" s="289"/>
      <c r="CP23" s="289"/>
      <c r="CQ23" s="289"/>
      <c r="CR23" s="289"/>
      <c r="CS23" s="289"/>
      <c r="CT23" s="289"/>
      <c r="CU23" s="289"/>
      <c r="CV23" s="289"/>
      <c r="CW23" s="289"/>
      <c r="CX23" s="289"/>
      <c r="CY23" s="289"/>
      <c r="CZ23" s="289"/>
      <c r="DA23" s="289"/>
      <c r="DB23" s="289"/>
      <c r="DC23" s="289"/>
      <c r="DD23" s="289"/>
      <c r="DE23" s="289"/>
      <c r="DF23" s="289"/>
      <c r="DG23" s="289"/>
      <c r="DH23" s="289"/>
      <c r="DI23" s="289"/>
      <c r="DJ23" s="289"/>
      <c r="DK23" s="289"/>
      <c r="DL23" s="289"/>
      <c r="DM23" s="289"/>
      <c r="DN23" s="289"/>
      <c r="DO23" s="289"/>
      <c r="DP23" s="289"/>
      <c r="DQ23" s="289"/>
      <c r="DR23" s="289"/>
      <c r="DS23" s="289"/>
      <c r="DT23" s="289"/>
      <c r="DU23" s="289"/>
      <c r="DV23" s="289"/>
      <c r="DW23" s="289"/>
      <c r="DX23" s="289"/>
      <c r="DY23" s="289"/>
      <c r="DZ23" s="289"/>
      <c r="EA23" s="289"/>
      <c r="EB23" s="289"/>
      <c r="EC23" s="289"/>
      <c r="ED23" s="289"/>
    </row>
    <row r="24" spans="1:134" s="87" customFormat="1" ht="15.75">
      <c r="A24" s="288" t="s">
        <v>314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  <c r="CS24" s="288"/>
      <c r="CT24" s="288"/>
      <c r="CU24" s="288"/>
      <c r="CV24" s="288"/>
      <c r="CW24" s="288"/>
      <c r="CX24" s="288"/>
      <c r="CY24" s="288"/>
      <c r="CZ24" s="288"/>
      <c r="DA24" s="288"/>
      <c r="DB24" s="288"/>
      <c r="DC24" s="288"/>
      <c r="DD24" s="288"/>
      <c r="DE24" s="288"/>
      <c r="DF24" s="288"/>
      <c r="DG24" s="288"/>
      <c r="DH24" s="288"/>
      <c r="DI24" s="288"/>
      <c r="DJ24" s="288"/>
      <c r="DK24" s="288"/>
      <c r="DL24" s="288"/>
      <c r="DM24" s="288"/>
      <c r="DN24" s="288"/>
      <c r="DO24" s="288"/>
      <c r="DP24" s="288"/>
      <c r="DQ24" s="288"/>
      <c r="DR24" s="288"/>
      <c r="DS24" s="288"/>
      <c r="DT24" s="288"/>
      <c r="DU24" s="288"/>
      <c r="DV24" s="288"/>
      <c r="DW24" s="288"/>
      <c r="DX24" s="288"/>
      <c r="DY24" s="288"/>
      <c r="DZ24" s="288"/>
      <c r="EA24" s="288"/>
      <c r="EB24" s="288"/>
      <c r="EC24" s="288"/>
      <c r="ED24" s="288"/>
    </row>
    <row r="25" spans="1:134" s="87" customFormat="1" ht="15.75">
      <c r="A25" s="288" t="s">
        <v>315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8"/>
      <c r="BD25" s="288"/>
      <c r="BE25" s="288"/>
      <c r="BF25" s="288"/>
      <c r="BG25" s="288"/>
      <c r="BH25" s="288"/>
      <c r="BI25" s="288"/>
      <c r="BJ25" s="288"/>
      <c r="BK25" s="288"/>
      <c r="BL25" s="288"/>
      <c r="BM25" s="288"/>
      <c r="BN25" s="288"/>
      <c r="BO25" s="288"/>
      <c r="BP25" s="288"/>
      <c r="BQ25" s="288"/>
      <c r="BR25" s="288"/>
      <c r="BS25" s="288"/>
      <c r="BT25" s="288"/>
      <c r="BU25" s="288"/>
      <c r="BV25" s="288"/>
      <c r="BW25" s="288"/>
      <c r="BX25" s="288"/>
      <c r="BY25" s="288"/>
      <c r="BZ25" s="288"/>
      <c r="CA25" s="288"/>
      <c r="CB25" s="288"/>
      <c r="CC25" s="288"/>
      <c r="CD25" s="288"/>
      <c r="CE25" s="288"/>
      <c r="CF25" s="288"/>
      <c r="CG25" s="288"/>
      <c r="CH25" s="288"/>
      <c r="CI25" s="288"/>
      <c r="CJ25" s="288"/>
      <c r="CK25" s="288"/>
      <c r="CL25" s="288"/>
      <c r="CM25" s="288"/>
      <c r="CN25" s="288"/>
      <c r="CO25" s="288"/>
      <c r="CP25" s="288"/>
      <c r="CQ25" s="288"/>
      <c r="CR25" s="288"/>
      <c r="CS25" s="288"/>
      <c r="CT25" s="288"/>
      <c r="CU25" s="288"/>
      <c r="CV25" s="288"/>
      <c r="CW25" s="288"/>
      <c r="CX25" s="288"/>
      <c r="CY25" s="288"/>
      <c r="CZ25" s="288"/>
      <c r="DA25" s="288"/>
      <c r="DB25" s="288"/>
      <c r="DC25" s="288"/>
      <c r="DD25" s="288"/>
      <c r="DE25" s="288"/>
      <c r="DF25" s="288"/>
      <c r="DG25" s="288"/>
      <c r="DH25" s="288"/>
      <c r="DI25" s="288"/>
      <c r="DJ25" s="288"/>
      <c r="DK25" s="288"/>
      <c r="DL25" s="288"/>
      <c r="DM25" s="288"/>
      <c r="DN25" s="288"/>
      <c r="DO25" s="288"/>
      <c r="DP25" s="288"/>
      <c r="DQ25" s="288"/>
      <c r="DR25" s="288"/>
      <c r="DS25" s="288"/>
      <c r="DT25" s="288"/>
      <c r="DU25" s="288"/>
      <c r="DV25" s="288"/>
      <c r="DW25" s="288"/>
      <c r="DX25" s="288"/>
      <c r="DY25" s="288"/>
      <c r="DZ25" s="288"/>
      <c r="EA25" s="288"/>
      <c r="EB25" s="288"/>
      <c r="EC25" s="288"/>
      <c r="ED25" s="288"/>
    </row>
    <row r="26" spans="1:134" s="87" customFormat="1" ht="15.75">
      <c r="A26" s="288" t="s">
        <v>316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  <c r="BK26" s="288"/>
      <c r="BL26" s="288"/>
      <c r="BM26" s="288"/>
      <c r="BN26" s="288"/>
      <c r="BO26" s="288"/>
      <c r="BP26" s="288"/>
      <c r="BQ26" s="288"/>
      <c r="BR26" s="288"/>
      <c r="BS26" s="288"/>
      <c r="BT26" s="288"/>
      <c r="BU26" s="288"/>
      <c r="BV26" s="288"/>
      <c r="BW26" s="288"/>
      <c r="BX26" s="288"/>
      <c r="BY26" s="288"/>
      <c r="BZ26" s="288"/>
      <c r="CA26" s="288"/>
      <c r="CB26" s="288"/>
      <c r="CC26" s="288"/>
      <c r="CD26" s="288"/>
      <c r="CE26" s="288"/>
      <c r="CF26" s="288"/>
      <c r="CG26" s="288"/>
      <c r="CH26" s="288"/>
      <c r="CI26" s="288"/>
      <c r="CJ26" s="288"/>
      <c r="CK26" s="288"/>
      <c r="CL26" s="288"/>
      <c r="CM26" s="288"/>
      <c r="CN26" s="288"/>
      <c r="CO26" s="288"/>
      <c r="CP26" s="288"/>
      <c r="CQ26" s="288"/>
      <c r="CR26" s="288"/>
      <c r="CS26" s="288"/>
      <c r="CT26" s="288"/>
      <c r="CU26" s="288"/>
      <c r="CV26" s="288"/>
      <c r="CW26" s="288"/>
      <c r="CX26" s="288"/>
      <c r="CY26" s="288"/>
      <c r="CZ26" s="288"/>
      <c r="DA26" s="288"/>
      <c r="DB26" s="288"/>
      <c r="DC26" s="288"/>
      <c r="DD26" s="288"/>
      <c r="DE26" s="288"/>
      <c r="DF26" s="288"/>
      <c r="DG26" s="288"/>
      <c r="DH26" s="288"/>
      <c r="DI26" s="288"/>
      <c r="DJ26" s="288"/>
      <c r="DK26" s="288"/>
      <c r="DL26" s="288"/>
      <c r="DM26" s="288"/>
      <c r="DN26" s="288"/>
      <c r="DO26" s="288"/>
      <c r="DP26" s="288"/>
      <c r="DQ26" s="288"/>
      <c r="DR26" s="288"/>
      <c r="DS26" s="288"/>
      <c r="DT26" s="288"/>
      <c r="DU26" s="288"/>
      <c r="DV26" s="288"/>
      <c r="DW26" s="288"/>
      <c r="DX26" s="288"/>
      <c r="DY26" s="288"/>
      <c r="DZ26" s="288"/>
      <c r="EA26" s="288"/>
      <c r="EB26" s="288"/>
      <c r="EC26" s="288"/>
      <c r="ED26" s="288"/>
    </row>
    <row r="27" spans="1:134" s="87" customFormat="1" ht="15" customHeight="1">
      <c r="A27" s="288" t="s">
        <v>317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8"/>
      <c r="BD27" s="288"/>
      <c r="BE27" s="288"/>
      <c r="BF27" s="288"/>
      <c r="BG27" s="288"/>
      <c r="BH27" s="288"/>
      <c r="BI27" s="288"/>
      <c r="BJ27" s="288"/>
      <c r="BK27" s="288"/>
      <c r="BL27" s="288"/>
      <c r="BM27" s="288"/>
      <c r="BN27" s="288"/>
      <c r="BO27" s="288"/>
      <c r="BP27" s="288"/>
      <c r="BQ27" s="288"/>
      <c r="BR27" s="288"/>
      <c r="BS27" s="288"/>
      <c r="BT27" s="288"/>
      <c r="BU27" s="288"/>
      <c r="BV27" s="288"/>
      <c r="BW27" s="288"/>
      <c r="BX27" s="288"/>
      <c r="BY27" s="288"/>
      <c r="BZ27" s="288"/>
      <c r="CA27" s="288"/>
      <c r="CB27" s="288"/>
      <c r="CC27" s="288"/>
      <c r="CD27" s="288"/>
      <c r="CE27" s="288"/>
      <c r="CF27" s="288"/>
      <c r="CG27" s="288"/>
      <c r="CH27" s="288"/>
      <c r="CI27" s="288"/>
      <c r="CJ27" s="288"/>
      <c r="CK27" s="288"/>
      <c r="CL27" s="288"/>
      <c r="CM27" s="288"/>
      <c r="CN27" s="288"/>
      <c r="CO27" s="288"/>
      <c r="CP27" s="288"/>
      <c r="CQ27" s="288"/>
      <c r="CR27" s="288"/>
      <c r="CS27" s="288"/>
      <c r="CT27" s="288"/>
      <c r="CU27" s="288"/>
      <c r="CV27" s="288"/>
      <c r="CW27" s="288"/>
      <c r="CX27" s="288"/>
      <c r="CY27" s="288"/>
      <c r="CZ27" s="288"/>
      <c r="DA27" s="288"/>
      <c r="DB27" s="288"/>
      <c r="DC27" s="288"/>
      <c r="DD27" s="288"/>
      <c r="DE27" s="288"/>
      <c r="DF27" s="288"/>
      <c r="DG27" s="288"/>
      <c r="DH27" s="288"/>
      <c r="DI27" s="288"/>
      <c r="DJ27" s="288"/>
      <c r="DK27" s="288"/>
      <c r="DL27" s="288"/>
      <c r="DM27" s="288"/>
      <c r="DN27" s="288"/>
      <c r="DO27" s="288"/>
      <c r="DP27" s="288"/>
      <c r="DQ27" s="288"/>
      <c r="DR27" s="288"/>
      <c r="DS27" s="288"/>
      <c r="DT27" s="288"/>
      <c r="DU27" s="288"/>
      <c r="DV27" s="288"/>
      <c r="DW27" s="288"/>
      <c r="DX27" s="288"/>
      <c r="DY27" s="288"/>
      <c r="DZ27" s="288"/>
      <c r="EA27" s="288"/>
      <c r="EB27" s="288"/>
      <c r="EC27" s="288"/>
      <c r="ED27" s="288"/>
    </row>
    <row r="28" spans="1:134" s="87" customFormat="1" ht="16.5" customHeight="1">
      <c r="A28" s="288" t="s">
        <v>318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88"/>
      <c r="BA28" s="288"/>
      <c r="BB28" s="288"/>
      <c r="BC28" s="288"/>
      <c r="BD28" s="288"/>
      <c r="BE28" s="288"/>
      <c r="BF28" s="288"/>
      <c r="BG28" s="288"/>
      <c r="BH28" s="288"/>
      <c r="BI28" s="288"/>
      <c r="BJ28" s="288"/>
      <c r="BK28" s="288"/>
      <c r="BL28" s="288"/>
      <c r="BM28" s="288"/>
      <c r="BN28" s="288"/>
      <c r="BO28" s="288"/>
      <c r="BP28" s="288"/>
      <c r="BQ28" s="288"/>
      <c r="BR28" s="288"/>
      <c r="BS28" s="288"/>
      <c r="BT28" s="288"/>
      <c r="BU28" s="288"/>
      <c r="BV28" s="288"/>
      <c r="BW28" s="288"/>
      <c r="BX28" s="288"/>
      <c r="BY28" s="288"/>
      <c r="BZ28" s="288"/>
      <c r="CA28" s="288"/>
      <c r="CB28" s="288"/>
      <c r="CC28" s="288"/>
      <c r="CD28" s="288"/>
      <c r="CE28" s="288"/>
      <c r="CF28" s="288"/>
      <c r="CG28" s="288"/>
      <c r="CH28" s="288"/>
      <c r="CI28" s="288"/>
      <c r="CJ28" s="288"/>
      <c r="CK28" s="288"/>
      <c r="CL28" s="288"/>
      <c r="CM28" s="288"/>
      <c r="CN28" s="288"/>
      <c r="CO28" s="288"/>
      <c r="CP28" s="288"/>
      <c r="CQ28" s="288"/>
      <c r="CR28" s="288"/>
      <c r="CS28" s="288"/>
      <c r="CT28" s="288"/>
      <c r="CU28" s="288"/>
      <c r="CV28" s="288"/>
      <c r="CW28" s="288"/>
      <c r="CX28" s="288"/>
      <c r="CY28" s="288"/>
      <c r="CZ28" s="288"/>
      <c r="DA28" s="288"/>
      <c r="DB28" s="288"/>
      <c r="DC28" s="288"/>
      <c r="DD28" s="288"/>
      <c r="DE28" s="288"/>
      <c r="DF28" s="288"/>
      <c r="DG28" s="288"/>
      <c r="DH28" s="288"/>
      <c r="DI28" s="288"/>
      <c r="DJ28" s="288"/>
      <c r="DK28" s="288"/>
      <c r="DL28" s="288"/>
      <c r="DM28" s="288"/>
      <c r="DN28" s="288"/>
      <c r="DO28" s="288"/>
      <c r="DP28" s="288"/>
      <c r="DQ28" s="288"/>
      <c r="DR28" s="288"/>
      <c r="DS28" s="288"/>
      <c r="DT28" s="288"/>
      <c r="DU28" s="288"/>
      <c r="DV28" s="288"/>
      <c r="DW28" s="288"/>
      <c r="DX28" s="288"/>
      <c r="DY28" s="288"/>
      <c r="DZ28" s="288"/>
      <c r="EA28" s="288"/>
      <c r="EB28" s="288"/>
      <c r="EC28" s="288"/>
      <c r="ED28" s="288"/>
    </row>
    <row r="29" spans="1:134" s="87" customFormat="1" ht="14.25" customHeight="1">
      <c r="A29" s="288" t="s">
        <v>319</v>
      </c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8"/>
      <c r="BD29" s="288"/>
      <c r="BE29" s="288"/>
      <c r="BF29" s="288"/>
      <c r="BG29" s="288"/>
      <c r="BH29" s="288"/>
      <c r="BI29" s="288"/>
      <c r="BJ29" s="288"/>
      <c r="BK29" s="288"/>
      <c r="BL29" s="288"/>
      <c r="BM29" s="288"/>
      <c r="BN29" s="288"/>
      <c r="BO29" s="288"/>
      <c r="BP29" s="288"/>
      <c r="BQ29" s="288"/>
      <c r="BR29" s="288"/>
      <c r="BS29" s="288"/>
      <c r="BT29" s="288"/>
      <c r="BU29" s="288"/>
      <c r="BV29" s="288"/>
      <c r="BW29" s="288"/>
      <c r="BX29" s="288"/>
      <c r="BY29" s="288"/>
      <c r="BZ29" s="288"/>
      <c r="CA29" s="288"/>
      <c r="CB29" s="288"/>
      <c r="CC29" s="288"/>
      <c r="CD29" s="288"/>
      <c r="CE29" s="288"/>
      <c r="CF29" s="288"/>
      <c r="CG29" s="288"/>
      <c r="CH29" s="288"/>
      <c r="CI29" s="288"/>
      <c r="CJ29" s="288"/>
      <c r="CK29" s="288"/>
      <c r="CL29" s="288"/>
      <c r="CM29" s="288"/>
      <c r="CN29" s="288"/>
      <c r="CO29" s="288"/>
      <c r="CP29" s="288"/>
      <c r="CQ29" s="288"/>
      <c r="CR29" s="288"/>
      <c r="CS29" s="288"/>
      <c r="CT29" s="288"/>
      <c r="CU29" s="288"/>
      <c r="CV29" s="288"/>
      <c r="CW29" s="288"/>
      <c r="CX29" s="288"/>
      <c r="CY29" s="288"/>
      <c r="CZ29" s="288"/>
      <c r="DA29" s="288"/>
      <c r="DB29" s="288"/>
      <c r="DC29" s="288"/>
      <c r="DD29" s="288"/>
      <c r="DE29" s="288"/>
      <c r="DF29" s="288"/>
      <c r="DG29" s="288"/>
      <c r="DH29" s="288"/>
      <c r="DI29" s="288"/>
      <c r="DJ29" s="288"/>
      <c r="DK29" s="288"/>
      <c r="DL29" s="288"/>
      <c r="DM29" s="288"/>
      <c r="DN29" s="288"/>
      <c r="DO29" s="288"/>
      <c r="DP29" s="288"/>
      <c r="DQ29" s="288"/>
      <c r="DR29" s="288"/>
      <c r="DS29" s="288"/>
      <c r="DT29" s="288"/>
      <c r="DU29" s="288"/>
      <c r="DV29" s="288"/>
      <c r="DW29" s="288"/>
      <c r="DX29" s="288"/>
      <c r="DY29" s="288"/>
      <c r="DZ29" s="288"/>
      <c r="EA29" s="288"/>
      <c r="EB29" s="288"/>
      <c r="EC29" s="288"/>
      <c r="ED29" s="288"/>
    </row>
    <row r="30" spans="1:134" s="87" customFormat="1" ht="15.75">
      <c r="A30" s="288" t="s">
        <v>320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8"/>
      <c r="BC30" s="288"/>
      <c r="BD30" s="288"/>
      <c r="BE30" s="288"/>
      <c r="BF30" s="288"/>
      <c r="BG30" s="288"/>
      <c r="BH30" s="288"/>
      <c r="BI30" s="288"/>
      <c r="BJ30" s="288"/>
      <c r="BK30" s="288"/>
      <c r="BL30" s="288"/>
      <c r="BM30" s="288"/>
      <c r="BN30" s="288"/>
      <c r="BO30" s="288"/>
      <c r="BP30" s="288"/>
      <c r="BQ30" s="288"/>
      <c r="BR30" s="288"/>
      <c r="BS30" s="288"/>
      <c r="BT30" s="288"/>
      <c r="BU30" s="288"/>
      <c r="BV30" s="288"/>
      <c r="BW30" s="288"/>
      <c r="BX30" s="288"/>
      <c r="BY30" s="288"/>
      <c r="BZ30" s="288"/>
      <c r="CA30" s="288"/>
      <c r="CB30" s="288"/>
      <c r="CC30" s="288"/>
      <c r="CD30" s="288"/>
      <c r="CE30" s="288"/>
      <c r="CF30" s="288"/>
      <c r="CG30" s="288"/>
      <c r="CH30" s="288"/>
      <c r="CI30" s="288"/>
      <c r="CJ30" s="288"/>
      <c r="CK30" s="288"/>
      <c r="CL30" s="288"/>
      <c r="CM30" s="288"/>
      <c r="CN30" s="288"/>
      <c r="CO30" s="288"/>
      <c r="CP30" s="288"/>
      <c r="CQ30" s="288"/>
      <c r="CR30" s="288"/>
      <c r="CS30" s="288"/>
      <c r="CT30" s="288"/>
      <c r="CU30" s="288"/>
      <c r="CV30" s="288"/>
      <c r="CW30" s="288"/>
      <c r="CX30" s="288"/>
      <c r="CY30" s="288"/>
      <c r="CZ30" s="288"/>
      <c r="DA30" s="288"/>
      <c r="DB30" s="288"/>
      <c r="DC30" s="288"/>
      <c r="DD30" s="288"/>
      <c r="DE30" s="288"/>
      <c r="DF30" s="288"/>
      <c r="DG30" s="288"/>
      <c r="DH30" s="288"/>
      <c r="DI30" s="288"/>
      <c r="DJ30" s="288"/>
      <c r="DK30" s="288"/>
      <c r="DL30" s="288"/>
      <c r="DM30" s="288"/>
      <c r="DN30" s="288"/>
      <c r="DO30" s="288"/>
      <c r="DP30" s="288"/>
      <c r="DQ30" s="288"/>
      <c r="DR30" s="288"/>
      <c r="DS30" s="288"/>
      <c r="DT30" s="288"/>
      <c r="DU30" s="288"/>
      <c r="DV30" s="288"/>
      <c r="DW30" s="288"/>
      <c r="DX30" s="288"/>
      <c r="DY30" s="288"/>
      <c r="DZ30" s="288"/>
      <c r="EA30" s="288"/>
      <c r="EB30" s="288"/>
      <c r="EC30" s="288"/>
      <c r="ED30" s="288"/>
    </row>
    <row r="31" spans="1:134" s="87" customFormat="1" ht="15.75">
      <c r="A31" s="288" t="s">
        <v>321</v>
      </c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8"/>
      <c r="BH31" s="288"/>
      <c r="BI31" s="288"/>
      <c r="BJ31" s="288"/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/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8"/>
      <c r="CV31" s="288"/>
      <c r="CW31" s="288"/>
      <c r="CX31" s="288"/>
      <c r="CY31" s="288"/>
      <c r="CZ31" s="288"/>
      <c r="DA31" s="288"/>
      <c r="DB31" s="288"/>
      <c r="DC31" s="288"/>
      <c r="DD31" s="288"/>
      <c r="DE31" s="288"/>
      <c r="DF31" s="288"/>
      <c r="DG31" s="288"/>
      <c r="DH31" s="288"/>
      <c r="DI31" s="288"/>
      <c r="DJ31" s="288"/>
      <c r="DK31" s="288"/>
      <c r="DL31" s="288"/>
      <c r="DM31" s="288"/>
      <c r="DN31" s="288"/>
      <c r="DO31" s="288"/>
      <c r="DP31" s="288"/>
      <c r="DQ31" s="288"/>
      <c r="DR31" s="288"/>
      <c r="DS31" s="288"/>
      <c r="DT31" s="288"/>
      <c r="DU31" s="288"/>
      <c r="DV31" s="288"/>
      <c r="DW31" s="288"/>
      <c r="DX31" s="288"/>
      <c r="DY31" s="288"/>
      <c r="DZ31" s="288"/>
      <c r="EA31" s="288"/>
      <c r="EB31" s="288"/>
      <c r="EC31" s="288"/>
      <c r="ED31" s="288"/>
    </row>
    <row r="32" spans="1:134" s="87" customFormat="1" ht="15.75">
      <c r="A32" s="288" t="s">
        <v>322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288"/>
      <c r="BF32" s="288"/>
      <c r="BG32" s="288"/>
      <c r="BH32" s="288"/>
      <c r="BI32" s="288"/>
      <c r="BJ32" s="288"/>
      <c r="BK32" s="288"/>
      <c r="BL32" s="288"/>
      <c r="BM32" s="288"/>
      <c r="BN32" s="288"/>
      <c r="BO32" s="288"/>
      <c r="BP32" s="288"/>
      <c r="BQ32" s="288"/>
      <c r="BR32" s="288"/>
      <c r="BS32" s="288"/>
      <c r="BT32" s="288"/>
      <c r="BU32" s="288"/>
      <c r="BV32" s="288"/>
      <c r="BW32" s="288"/>
      <c r="BX32" s="288"/>
      <c r="BY32" s="288"/>
      <c r="BZ32" s="288"/>
      <c r="CA32" s="288"/>
      <c r="CB32" s="288"/>
      <c r="CC32" s="288"/>
      <c r="CD32" s="288"/>
      <c r="CE32" s="288"/>
      <c r="CF32" s="288"/>
      <c r="CG32" s="288"/>
      <c r="CH32" s="288"/>
      <c r="CI32" s="288"/>
      <c r="CJ32" s="288"/>
      <c r="CK32" s="288"/>
      <c r="CL32" s="288"/>
      <c r="CM32" s="288"/>
      <c r="CN32" s="288"/>
      <c r="CO32" s="288"/>
      <c r="CP32" s="288"/>
      <c r="CQ32" s="288"/>
      <c r="CR32" s="288"/>
      <c r="CS32" s="288"/>
      <c r="CT32" s="288"/>
      <c r="CU32" s="288"/>
      <c r="CV32" s="288"/>
      <c r="CW32" s="288"/>
      <c r="CX32" s="288"/>
      <c r="CY32" s="288"/>
      <c r="CZ32" s="288"/>
      <c r="DA32" s="288"/>
      <c r="DB32" s="288"/>
      <c r="DC32" s="288"/>
      <c r="DD32" s="288"/>
      <c r="DE32" s="288"/>
      <c r="DF32" s="288"/>
      <c r="DG32" s="288"/>
      <c r="DH32" s="288"/>
      <c r="DI32" s="288"/>
      <c r="DJ32" s="288"/>
      <c r="DK32" s="288"/>
      <c r="DL32" s="288"/>
      <c r="DM32" s="288"/>
      <c r="DN32" s="288"/>
      <c r="DO32" s="288"/>
      <c r="DP32" s="288"/>
      <c r="DQ32" s="288"/>
      <c r="DR32" s="288"/>
      <c r="DS32" s="288"/>
      <c r="DT32" s="288"/>
      <c r="DU32" s="288"/>
      <c r="DV32" s="288"/>
      <c r="DW32" s="288"/>
      <c r="DX32" s="288"/>
      <c r="DY32" s="288"/>
      <c r="DZ32" s="288"/>
      <c r="EA32" s="288"/>
      <c r="EB32" s="288"/>
      <c r="EC32" s="288"/>
      <c r="ED32" s="288"/>
    </row>
    <row r="33" spans="1:134" s="87" customFormat="1" ht="15.75">
      <c r="A33" s="288" t="s">
        <v>323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8"/>
      <c r="BF33" s="288"/>
      <c r="BG33" s="288"/>
      <c r="BH33" s="288"/>
      <c r="BI33" s="288"/>
      <c r="BJ33" s="288"/>
      <c r="BK33" s="288"/>
      <c r="BL33" s="288"/>
      <c r="BM33" s="288"/>
      <c r="BN33" s="288"/>
      <c r="BO33" s="288"/>
      <c r="BP33" s="288"/>
      <c r="BQ33" s="288"/>
      <c r="BR33" s="288"/>
      <c r="BS33" s="288"/>
      <c r="BT33" s="288"/>
      <c r="BU33" s="288"/>
      <c r="BV33" s="288"/>
      <c r="BW33" s="288"/>
      <c r="BX33" s="288"/>
      <c r="BY33" s="288"/>
      <c r="BZ33" s="288"/>
      <c r="CA33" s="288"/>
      <c r="CB33" s="288"/>
      <c r="CC33" s="288"/>
      <c r="CD33" s="288"/>
      <c r="CE33" s="288"/>
      <c r="CF33" s="288"/>
      <c r="CG33" s="288"/>
      <c r="CH33" s="288"/>
      <c r="CI33" s="288"/>
      <c r="CJ33" s="288"/>
      <c r="CK33" s="288"/>
      <c r="CL33" s="288"/>
      <c r="CM33" s="288"/>
      <c r="CN33" s="288"/>
      <c r="CO33" s="288"/>
      <c r="CP33" s="288"/>
      <c r="CQ33" s="288"/>
      <c r="CR33" s="288"/>
      <c r="CS33" s="288"/>
      <c r="CT33" s="288"/>
      <c r="CU33" s="288"/>
      <c r="CV33" s="288"/>
      <c r="CW33" s="288"/>
      <c r="CX33" s="288"/>
      <c r="CY33" s="288"/>
      <c r="CZ33" s="288"/>
      <c r="DA33" s="288"/>
      <c r="DB33" s="288"/>
      <c r="DC33" s="288"/>
      <c r="DD33" s="288"/>
      <c r="DE33" s="288"/>
      <c r="DF33" s="288"/>
      <c r="DG33" s="288"/>
      <c r="DH33" s="288"/>
      <c r="DI33" s="288"/>
      <c r="DJ33" s="288"/>
      <c r="DK33" s="288"/>
      <c r="DL33" s="288"/>
      <c r="DM33" s="288"/>
      <c r="DN33" s="288"/>
      <c r="DO33" s="288"/>
      <c r="DP33" s="288"/>
      <c r="DQ33" s="288"/>
      <c r="DR33" s="288"/>
      <c r="DS33" s="288"/>
      <c r="DT33" s="288"/>
      <c r="DU33" s="288"/>
      <c r="DV33" s="288"/>
      <c r="DW33" s="288"/>
      <c r="DX33" s="288"/>
      <c r="DY33" s="288"/>
      <c r="DZ33" s="288"/>
      <c r="EA33" s="288"/>
      <c r="EB33" s="288"/>
      <c r="EC33" s="288"/>
      <c r="ED33" s="288"/>
    </row>
    <row r="34" spans="1:134" s="87" customFormat="1" ht="15.75">
      <c r="A34" s="288" t="s">
        <v>324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8"/>
      <c r="DB34" s="288"/>
      <c r="DC34" s="288"/>
      <c r="DD34" s="288"/>
      <c r="DE34" s="288"/>
      <c r="DF34" s="288"/>
      <c r="DG34" s="288"/>
      <c r="DH34" s="288"/>
      <c r="DI34" s="288"/>
      <c r="DJ34" s="288"/>
      <c r="DK34" s="288"/>
      <c r="DL34" s="288"/>
      <c r="DM34" s="288"/>
      <c r="DN34" s="288"/>
      <c r="DO34" s="288"/>
      <c r="DP34" s="288"/>
      <c r="DQ34" s="288"/>
      <c r="DR34" s="288"/>
      <c r="DS34" s="288"/>
      <c r="DT34" s="288"/>
      <c r="DU34" s="288"/>
      <c r="DV34" s="288"/>
      <c r="DW34" s="288"/>
      <c r="DX34" s="288"/>
      <c r="DY34" s="288"/>
      <c r="DZ34" s="288"/>
      <c r="EA34" s="288"/>
      <c r="EB34" s="288"/>
      <c r="EC34" s="288"/>
      <c r="ED34" s="288"/>
    </row>
    <row r="35" spans="1:134" s="87" customFormat="1" ht="15.75">
      <c r="A35" s="289" t="s">
        <v>325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  <c r="BF35" s="289"/>
      <c r="BG35" s="289"/>
      <c r="BH35" s="289"/>
      <c r="BI35" s="28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289"/>
      <c r="BX35" s="289"/>
      <c r="BY35" s="289"/>
      <c r="BZ35" s="289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289"/>
      <c r="CL35" s="289"/>
      <c r="CM35" s="289"/>
      <c r="CN35" s="289"/>
      <c r="CO35" s="289"/>
      <c r="CP35" s="289"/>
      <c r="CQ35" s="289"/>
      <c r="CR35" s="289"/>
      <c r="CS35" s="289"/>
      <c r="CT35" s="289"/>
      <c r="CU35" s="289"/>
      <c r="CV35" s="289"/>
      <c r="CW35" s="289"/>
      <c r="CX35" s="289"/>
      <c r="CY35" s="289"/>
      <c r="CZ35" s="289"/>
      <c r="DA35" s="289"/>
      <c r="DB35" s="289"/>
      <c r="DC35" s="289"/>
      <c r="DD35" s="289"/>
      <c r="DE35" s="289"/>
      <c r="DF35" s="289"/>
      <c r="DG35" s="289"/>
      <c r="DH35" s="289"/>
      <c r="DI35" s="289"/>
      <c r="DJ35" s="289"/>
      <c r="DK35" s="289"/>
      <c r="DL35" s="289"/>
      <c r="DM35" s="289"/>
      <c r="DN35" s="289"/>
      <c r="DO35" s="289"/>
      <c r="DP35" s="289"/>
      <c r="DQ35" s="289"/>
      <c r="DR35" s="289"/>
      <c r="DS35" s="289"/>
      <c r="DT35" s="289"/>
      <c r="DU35" s="289"/>
      <c r="DV35" s="289"/>
      <c r="DW35" s="289"/>
      <c r="DX35" s="289"/>
      <c r="DY35" s="289"/>
      <c r="DZ35" s="289"/>
      <c r="EA35" s="289"/>
      <c r="EB35" s="289"/>
      <c r="EC35" s="289"/>
      <c r="ED35" s="289"/>
    </row>
    <row r="36" spans="1:134" s="87" customFormat="1" ht="15.75">
      <c r="A36" s="288" t="s">
        <v>326</v>
      </c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BI36" s="288"/>
      <c r="BJ36" s="288"/>
      <c r="BK36" s="288"/>
      <c r="BL36" s="288"/>
      <c r="BM36" s="288"/>
      <c r="BN36" s="288"/>
      <c r="BO36" s="288"/>
      <c r="BP36" s="288"/>
      <c r="BQ36" s="288"/>
      <c r="BR36" s="288"/>
      <c r="BS36" s="288"/>
      <c r="BT36" s="288"/>
      <c r="BU36" s="288"/>
      <c r="BV36" s="288"/>
      <c r="BW36" s="288"/>
      <c r="BX36" s="288"/>
      <c r="BY36" s="288"/>
      <c r="BZ36" s="288"/>
      <c r="CA36" s="288"/>
      <c r="CB36" s="288"/>
      <c r="CC36" s="288"/>
      <c r="CD36" s="288"/>
      <c r="CE36" s="288"/>
      <c r="CF36" s="288"/>
      <c r="CG36" s="288"/>
      <c r="CH36" s="288"/>
      <c r="CI36" s="288"/>
      <c r="CJ36" s="288"/>
      <c r="CK36" s="288"/>
      <c r="CL36" s="288"/>
      <c r="CM36" s="288"/>
      <c r="CN36" s="288"/>
      <c r="CO36" s="288"/>
      <c r="CP36" s="288"/>
      <c r="CQ36" s="288"/>
      <c r="CR36" s="288"/>
      <c r="CS36" s="288"/>
      <c r="CT36" s="288"/>
      <c r="CU36" s="288"/>
      <c r="CV36" s="288"/>
      <c r="CW36" s="288"/>
      <c r="CX36" s="288"/>
      <c r="CY36" s="288"/>
      <c r="CZ36" s="288"/>
      <c r="DA36" s="288"/>
      <c r="DB36" s="288"/>
      <c r="DC36" s="288"/>
      <c r="DD36" s="288"/>
      <c r="DE36" s="288"/>
      <c r="DF36" s="288"/>
      <c r="DG36" s="288"/>
      <c r="DH36" s="288"/>
      <c r="DI36" s="288"/>
      <c r="DJ36" s="288"/>
      <c r="DK36" s="288"/>
      <c r="DL36" s="288"/>
      <c r="DM36" s="288"/>
      <c r="DN36" s="288"/>
      <c r="DO36" s="288"/>
      <c r="DP36" s="288"/>
      <c r="DQ36" s="288"/>
      <c r="DR36" s="288"/>
      <c r="DS36" s="288"/>
      <c r="DT36" s="288"/>
      <c r="DU36" s="288"/>
      <c r="DV36" s="288"/>
      <c r="DW36" s="288"/>
      <c r="DX36" s="288"/>
      <c r="DY36" s="288"/>
      <c r="DZ36" s="288"/>
      <c r="EA36" s="288"/>
      <c r="EB36" s="288"/>
      <c r="EC36" s="288"/>
      <c r="ED36" s="288"/>
    </row>
    <row r="37" spans="1:134" s="87" customFormat="1" ht="15.75">
      <c r="A37" s="288" t="s">
        <v>327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8"/>
      <c r="BH37" s="288"/>
      <c r="BI37" s="288"/>
      <c r="BJ37" s="288"/>
      <c r="BK37" s="288"/>
      <c r="BL37" s="288"/>
      <c r="BM37" s="288"/>
      <c r="BN37" s="288"/>
      <c r="BO37" s="288"/>
      <c r="BP37" s="288"/>
      <c r="BQ37" s="288"/>
      <c r="BR37" s="288"/>
      <c r="BS37" s="288"/>
      <c r="BT37" s="288"/>
      <c r="BU37" s="288"/>
      <c r="BV37" s="288"/>
      <c r="BW37" s="288"/>
      <c r="BX37" s="288"/>
      <c r="BY37" s="288"/>
      <c r="BZ37" s="288"/>
      <c r="CA37" s="288"/>
      <c r="CB37" s="288"/>
      <c r="CC37" s="288"/>
      <c r="CD37" s="288"/>
      <c r="CE37" s="288"/>
      <c r="CF37" s="288"/>
      <c r="CG37" s="288"/>
      <c r="CH37" s="288"/>
      <c r="CI37" s="288"/>
      <c r="CJ37" s="288"/>
      <c r="CK37" s="288"/>
      <c r="CL37" s="288"/>
      <c r="CM37" s="288"/>
      <c r="CN37" s="288"/>
      <c r="CO37" s="288"/>
      <c r="CP37" s="288"/>
      <c r="CQ37" s="288"/>
      <c r="CR37" s="288"/>
      <c r="CS37" s="288"/>
      <c r="CT37" s="288"/>
      <c r="CU37" s="288"/>
      <c r="CV37" s="288"/>
      <c r="CW37" s="288"/>
      <c r="CX37" s="288"/>
      <c r="CY37" s="288"/>
      <c r="CZ37" s="288"/>
      <c r="DA37" s="288"/>
      <c r="DB37" s="288"/>
      <c r="DC37" s="288"/>
      <c r="DD37" s="288"/>
      <c r="DE37" s="288"/>
      <c r="DF37" s="288"/>
      <c r="DG37" s="288"/>
      <c r="DH37" s="288"/>
      <c r="DI37" s="288"/>
      <c r="DJ37" s="288"/>
      <c r="DK37" s="288"/>
      <c r="DL37" s="288"/>
      <c r="DM37" s="288"/>
      <c r="DN37" s="288"/>
      <c r="DO37" s="288"/>
      <c r="DP37" s="288"/>
      <c r="DQ37" s="288"/>
      <c r="DR37" s="288"/>
      <c r="DS37" s="288"/>
      <c r="DT37" s="288"/>
      <c r="DU37" s="288"/>
      <c r="DV37" s="288"/>
      <c r="DW37" s="288"/>
      <c r="DX37" s="288"/>
      <c r="DY37" s="288"/>
      <c r="DZ37" s="288"/>
      <c r="EA37" s="288"/>
      <c r="EB37" s="288"/>
      <c r="EC37" s="288"/>
      <c r="ED37" s="288"/>
    </row>
    <row r="38" spans="1:134" s="87" customFormat="1" ht="31.5" customHeight="1">
      <c r="A38" s="288" t="s">
        <v>328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P38" s="288"/>
      <c r="BQ38" s="288"/>
      <c r="BR38" s="288"/>
      <c r="BS38" s="288"/>
      <c r="BT38" s="288"/>
      <c r="BU38" s="288"/>
      <c r="BV38" s="288"/>
      <c r="BW38" s="288"/>
      <c r="BX38" s="288"/>
      <c r="BY38" s="288"/>
      <c r="BZ38" s="288"/>
      <c r="CA38" s="288"/>
      <c r="CB38" s="288"/>
      <c r="CC38" s="288"/>
      <c r="CD38" s="288"/>
      <c r="CE38" s="288"/>
      <c r="CF38" s="288"/>
      <c r="CG38" s="288"/>
      <c r="CH38" s="288"/>
      <c r="CI38" s="288"/>
      <c r="CJ38" s="288"/>
      <c r="CK38" s="288"/>
      <c r="CL38" s="288"/>
      <c r="CM38" s="288"/>
      <c r="CN38" s="288"/>
      <c r="CO38" s="288"/>
      <c r="CP38" s="288"/>
      <c r="CQ38" s="288"/>
      <c r="CR38" s="288"/>
      <c r="CS38" s="288"/>
      <c r="CT38" s="288"/>
      <c r="CU38" s="288"/>
      <c r="CV38" s="288"/>
      <c r="CW38" s="288"/>
      <c r="CX38" s="288"/>
      <c r="CY38" s="288"/>
      <c r="CZ38" s="288"/>
      <c r="DA38" s="288"/>
      <c r="DB38" s="288"/>
      <c r="DC38" s="288"/>
      <c r="DD38" s="288"/>
      <c r="DE38" s="288"/>
      <c r="DF38" s="288"/>
      <c r="DG38" s="288"/>
      <c r="DH38" s="288"/>
      <c r="DI38" s="288"/>
      <c r="DJ38" s="288"/>
      <c r="DK38" s="288"/>
      <c r="DL38" s="288"/>
      <c r="DM38" s="288"/>
      <c r="DN38" s="288"/>
      <c r="DO38" s="288"/>
      <c r="DP38" s="288"/>
      <c r="DQ38" s="288"/>
      <c r="DR38" s="288"/>
      <c r="DS38" s="288"/>
      <c r="DT38" s="288"/>
      <c r="DU38" s="288"/>
      <c r="DV38" s="288"/>
      <c r="DW38" s="288"/>
      <c r="DX38" s="288"/>
      <c r="DY38" s="288"/>
      <c r="DZ38" s="288"/>
      <c r="EA38" s="288"/>
      <c r="EB38" s="288"/>
      <c r="EC38" s="288"/>
      <c r="ED38" s="288"/>
    </row>
    <row r="39" spans="1:134" s="87" customFormat="1" ht="17.25" customHeight="1">
      <c r="A39" s="288" t="s">
        <v>329</v>
      </c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8"/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8"/>
      <c r="CD39" s="288"/>
      <c r="CE39" s="288"/>
      <c r="CF39" s="288"/>
      <c r="CG39" s="288"/>
      <c r="CH39" s="288"/>
      <c r="CI39" s="288"/>
      <c r="CJ39" s="288"/>
      <c r="CK39" s="288"/>
      <c r="CL39" s="288"/>
      <c r="CM39" s="288"/>
      <c r="CN39" s="288"/>
      <c r="CO39" s="288"/>
      <c r="CP39" s="288"/>
      <c r="CQ39" s="288"/>
      <c r="CR39" s="288"/>
      <c r="CS39" s="288"/>
      <c r="CT39" s="288"/>
      <c r="CU39" s="288"/>
      <c r="CV39" s="288"/>
      <c r="CW39" s="288"/>
      <c r="CX39" s="288"/>
      <c r="CY39" s="288"/>
      <c r="CZ39" s="288"/>
      <c r="DA39" s="288"/>
      <c r="DB39" s="288"/>
      <c r="DC39" s="288"/>
      <c r="DD39" s="288"/>
      <c r="DE39" s="288"/>
      <c r="DF39" s="288"/>
      <c r="DG39" s="288"/>
      <c r="DH39" s="288"/>
      <c r="DI39" s="288"/>
      <c r="DJ39" s="288"/>
      <c r="DK39" s="288"/>
      <c r="DL39" s="288"/>
      <c r="DM39" s="288"/>
      <c r="DN39" s="288"/>
      <c r="DO39" s="288"/>
      <c r="DP39" s="288"/>
      <c r="DQ39" s="288"/>
      <c r="DR39" s="288"/>
      <c r="DS39" s="288"/>
      <c r="DT39" s="288"/>
      <c r="DU39" s="288"/>
      <c r="DV39" s="288"/>
      <c r="DW39" s="288"/>
      <c r="DX39" s="288"/>
      <c r="DY39" s="288"/>
      <c r="DZ39" s="288"/>
      <c r="EA39" s="288"/>
      <c r="EB39" s="288"/>
      <c r="EC39" s="288"/>
      <c r="ED39" s="288"/>
    </row>
    <row r="40" spans="1:134" s="87" customFormat="1" ht="15.75">
      <c r="A40" s="288" t="s">
        <v>330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288"/>
      <c r="BF40" s="288"/>
      <c r="BG40" s="288"/>
      <c r="BH40" s="288"/>
      <c r="BI40" s="288"/>
      <c r="BJ40" s="288"/>
      <c r="BK40" s="288"/>
      <c r="BL40" s="288"/>
      <c r="BM40" s="288"/>
      <c r="BN40" s="288"/>
      <c r="BO40" s="288"/>
      <c r="BP40" s="288"/>
      <c r="BQ40" s="288"/>
      <c r="BR40" s="288"/>
      <c r="BS40" s="288"/>
      <c r="BT40" s="288"/>
      <c r="BU40" s="288"/>
      <c r="BV40" s="288"/>
      <c r="BW40" s="288"/>
      <c r="BX40" s="288"/>
      <c r="BY40" s="288"/>
      <c r="BZ40" s="288"/>
      <c r="CA40" s="288"/>
      <c r="CB40" s="288"/>
      <c r="CC40" s="288"/>
      <c r="CD40" s="288"/>
      <c r="CE40" s="288"/>
      <c r="CF40" s="288"/>
      <c r="CG40" s="288"/>
      <c r="CH40" s="288"/>
      <c r="CI40" s="288"/>
      <c r="CJ40" s="288"/>
      <c r="CK40" s="288"/>
      <c r="CL40" s="288"/>
      <c r="CM40" s="288"/>
      <c r="CN40" s="288"/>
      <c r="CO40" s="288"/>
      <c r="CP40" s="288"/>
      <c r="CQ40" s="288"/>
      <c r="CR40" s="288"/>
      <c r="CS40" s="288"/>
      <c r="CT40" s="288"/>
      <c r="CU40" s="288"/>
      <c r="CV40" s="288"/>
      <c r="CW40" s="288"/>
      <c r="CX40" s="288"/>
      <c r="CY40" s="288"/>
      <c r="CZ40" s="288"/>
      <c r="DA40" s="288"/>
      <c r="DB40" s="288"/>
      <c r="DC40" s="288"/>
      <c r="DD40" s="288"/>
      <c r="DE40" s="288"/>
      <c r="DF40" s="288"/>
      <c r="DG40" s="288"/>
      <c r="DH40" s="288"/>
      <c r="DI40" s="288"/>
      <c r="DJ40" s="288"/>
      <c r="DK40" s="288"/>
      <c r="DL40" s="288"/>
      <c r="DM40" s="288"/>
      <c r="DN40" s="288"/>
      <c r="DO40" s="288"/>
      <c r="DP40" s="288"/>
      <c r="DQ40" s="288"/>
      <c r="DR40" s="288"/>
      <c r="DS40" s="288"/>
      <c r="DT40" s="288"/>
      <c r="DU40" s="288"/>
      <c r="DV40" s="288"/>
      <c r="DW40" s="288"/>
      <c r="DX40" s="288"/>
      <c r="DY40" s="288"/>
      <c r="DZ40" s="288"/>
      <c r="EA40" s="288"/>
      <c r="EB40" s="288"/>
      <c r="EC40" s="288"/>
      <c r="ED40" s="288"/>
    </row>
    <row r="41" spans="1:134" s="87" customFormat="1" ht="15.75">
      <c r="A41" s="288" t="s">
        <v>331</v>
      </c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88"/>
      <c r="BF41" s="288"/>
      <c r="BG41" s="288"/>
      <c r="BH41" s="288"/>
      <c r="BI41" s="288"/>
      <c r="BJ41" s="288"/>
      <c r="BK41" s="288"/>
      <c r="BL41" s="288"/>
      <c r="BM41" s="288"/>
      <c r="BN41" s="288"/>
      <c r="BO41" s="288"/>
      <c r="BP41" s="288"/>
      <c r="BQ41" s="288"/>
      <c r="BR41" s="288"/>
      <c r="BS41" s="288"/>
      <c r="BT41" s="288"/>
      <c r="BU41" s="288"/>
      <c r="BV41" s="288"/>
      <c r="BW41" s="288"/>
      <c r="BX41" s="288"/>
      <c r="BY41" s="288"/>
      <c r="BZ41" s="288"/>
      <c r="CA41" s="288"/>
      <c r="CB41" s="288"/>
      <c r="CC41" s="288"/>
      <c r="CD41" s="288"/>
      <c r="CE41" s="288"/>
      <c r="CF41" s="288"/>
      <c r="CG41" s="288"/>
      <c r="CH41" s="288"/>
      <c r="CI41" s="288"/>
      <c r="CJ41" s="288"/>
      <c r="CK41" s="288"/>
      <c r="CL41" s="288"/>
      <c r="CM41" s="288"/>
      <c r="CN41" s="288"/>
      <c r="CO41" s="288"/>
      <c r="CP41" s="288"/>
      <c r="CQ41" s="288"/>
      <c r="CR41" s="288"/>
      <c r="CS41" s="288"/>
      <c r="CT41" s="288"/>
      <c r="CU41" s="288"/>
      <c r="CV41" s="288"/>
      <c r="CW41" s="288"/>
      <c r="CX41" s="288"/>
      <c r="CY41" s="288"/>
      <c r="CZ41" s="288"/>
      <c r="DA41" s="288"/>
      <c r="DB41" s="288"/>
      <c r="DC41" s="288"/>
      <c r="DD41" s="288"/>
      <c r="DE41" s="288"/>
      <c r="DF41" s="288"/>
      <c r="DG41" s="288"/>
      <c r="DH41" s="288"/>
      <c r="DI41" s="288"/>
      <c r="DJ41" s="288"/>
      <c r="DK41" s="288"/>
      <c r="DL41" s="288"/>
      <c r="DM41" s="288"/>
      <c r="DN41" s="288"/>
      <c r="DO41" s="288"/>
      <c r="DP41" s="288"/>
      <c r="DQ41" s="288"/>
      <c r="DR41" s="288"/>
      <c r="DS41" s="288"/>
      <c r="DT41" s="288"/>
      <c r="DU41" s="288"/>
      <c r="DV41" s="288"/>
      <c r="DW41" s="288"/>
      <c r="DX41" s="288"/>
      <c r="DY41" s="288"/>
      <c r="DZ41" s="288"/>
      <c r="EA41" s="288"/>
      <c r="EB41" s="288"/>
      <c r="EC41" s="288"/>
      <c r="ED41" s="288"/>
    </row>
    <row r="42" spans="1:134" s="87" customFormat="1" ht="15.75">
      <c r="A42" s="288" t="s">
        <v>332</v>
      </c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8"/>
      <c r="AW42" s="288"/>
      <c r="AX42" s="288"/>
      <c r="AY42" s="288"/>
      <c r="AZ42" s="288"/>
      <c r="BA42" s="288"/>
      <c r="BB42" s="288"/>
      <c r="BC42" s="288"/>
      <c r="BD42" s="288"/>
      <c r="BE42" s="288"/>
      <c r="BF42" s="288"/>
      <c r="BG42" s="288"/>
      <c r="BH42" s="288"/>
      <c r="BI42" s="288"/>
      <c r="BJ42" s="288"/>
      <c r="BK42" s="288"/>
      <c r="BL42" s="288"/>
      <c r="BM42" s="288"/>
      <c r="BN42" s="288"/>
      <c r="BO42" s="288"/>
      <c r="BP42" s="288"/>
      <c r="BQ42" s="288"/>
      <c r="BR42" s="288"/>
      <c r="BS42" s="288"/>
      <c r="BT42" s="288"/>
      <c r="BU42" s="288"/>
      <c r="BV42" s="288"/>
      <c r="BW42" s="288"/>
      <c r="BX42" s="288"/>
      <c r="BY42" s="288"/>
      <c r="BZ42" s="288"/>
      <c r="CA42" s="288"/>
      <c r="CB42" s="288"/>
      <c r="CC42" s="288"/>
      <c r="CD42" s="288"/>
      <c r="CE42" s="288"/>
      <c r="CF42" s="288"/>
      <c r="CG42" s="288"/>
      <c r="CH42" s="288"/>
      <c r="CI42" s="288"/>
      <c r="CJ42" s="288"/>
      <c r="CK42" s="288"/>
      <c r="CL42" s="288"/>
      <c r="CM42" s="288"/>
      <c r="CN42" s="288"/>
      <c r="CO42" s="288"/>
      <c r="CP42" s="288"/>
      <c r="CQ42" s="288"/>
      <c r="CR42" s="288"/>
      <c r="CS42" s="288"/>
      <c r="CT42" s="288"/>
      <c r="CU42" s="288"/>
      <c r="CV42" s="288"/>
      <c r="CW42" s="288"/>
      <c r="CX42" s="288"/>
      <c r="CY42" s="288"/>
      <c r="CZ42" s="288"/>
      <c r="DA42" s="288"/>
      <c r="DB42" s="288"/>
      <c r="DC42" s="288"/>
      <c r="DD42" s="288"/>
      <c r="DE42" s="288"/>
      <c r="DF42" s="288"/>
      <c r="DG42" s="288"/>
      <c r="DH42" s="288"/>
      <c r="DI42" s="288"/>
      <c r="DJ42" s="288"/>
      <c r="DK42" s="288"/>
      <c r="DL42" s="288"/>
      <c r="DM42" s="288"/>
      <c r="DN42" s="288"/>
      <c r="DO42" s="288"/>
      <c r="DP42" s="288"/>
      <c r="DQ42" s="288"/>
      <c r="DR42" s="288"/>
      <c r="DS42" s="288"/>
      <c r="DT42" s="288"/>
      <c r="DU42" s="288"/>
      <c r="DV42" s="288"/>
      <c r="DW42" s="288"/>
      <c r="DX42" s="288"/>
      <c r="DY42" s="288"/>
      <c r="DZ42" s="288"/>
      <c r="EA42" s="288"/>
      <c r="EB42" s="288"/>
      <c r="EC42" s="288"/>
      <c r="ED42" s="288"/>
    </row>
    <row r="43" spans="1:134" s="87" customFormat="1" ht="15.75">
      <c r="A43" s="288" t="s">
        <v>333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8"/>
      <c r="AZ43" s="288"/>
      <c r="BA43" s="288"/>
      <c r="BB43" s="288"/>
      <c r="BC43" s="288"/>
      <c r="BD43" s="288"/>
      <c r="BE43" s="288"/>
      <c r="BF43" s="288"/>
      <c r="BG43" s="288"/>
      <c r="BH43" s="288"/>
      <c r="BI43" s="288"/>
      <c r="BJ43" s="288"/>
      <c r="BK43" s="288"/>
      <c r="BL43" s="288"/>
      <c r="BM43" s="288"/>
      <c r="BN43" s="288"/>
      <c r="BO43" s="288"/>
      <c r="BP43" s="288"/>
      <c r="BQ43" s="288"/>
      <c r="BR43" s="288"/>
      <c r="BS43" s="288"/>
      <c r="BT43" s="288"/>
      <c r="BU43" s="288"/>
      <c r="BV43" s="288"/>
      <c r="BW43" s="288"/>
      <c r="BX43" s="288"/>
      <c r="BY43" s="288"/>
      <c r="BZ43" s="288"/>
      <c r="CA43" s="288"/>
      <c r="CB43" s="288"/>
      <c r="CC43" s="288"/>
      <c r="CD43" s="288"/>
      <c r="CE43" s="288"/>
      <c r="CF43" s="288"/>
      <c r="CG43" s="288"/>
      <c r="CH43" s="288"/>
      <c r="CI43" s="288"/>
      <c r="CJ43" s="288"/>
      <c r="CK43" s="288"/>
      <c r="CL43" s="288"/>
      <c r="CM43" s="288"/>
      <c r="CN43" s="288"/>
      <c r="CO43" s="288"/>
      <c r="CP43" s="288"/>
      <c r="CQ43" s="288"/>
      <c r="CR43" s="288"/>
      <c r="CS43" s="288"/>
      <c r="CT43" s="288"/>
      <c r="CU43" s="288"/>
      <c r="CV43" s="288"/>
      <c r="CW43" s="288"/>
      <c r="CX43" s="288"/>
      <c r="CY43" s="288"/>
      <c r="CZ43" s="288"/>
      <c r="DA43" s="288"/>
      <c r="DB43" s="288"/>
      <c r="DC43" s="288"/>
      <c r="DD43" s="288"/>
      <c r="DE43" s="288"/>
      <c r="DF43" s="288"/>
      <c r="DG43" s="288"/>
      <c r="DH43" s="288"/>
      <c r="DI43" s="288"/>
      <c r="DJ43" s="288"/>
      <c r="DK43" s="288"/>
      <c r="DL43" s="288"/>
      <c r="DM43" s="288"/>
      <c r="DN43" s="288"/>
      <c r="DO43" s="288"/>
      <c r="DP43" s="288"/>
      <c r="DQ43" s="288"/>
      <c r="DR43" s="288"/>
      <c r="DS43" s="288"/>
      <c r="DT43" s="288"/>
      <c r="DU43" s="288"/>
      <c r="DV43" s="288"/>
      <c r="DW43" s="288"/>
      <c r="DX43" s="288"/>
      <c r="DY43" s="288"/>
      <c r="DZ43" s="288"/>
      <c r="EA43" s="288"/>
      <c r="EB43" s="288"/>
      <c r="EC43" s="288"/>
      <c r="ED43" s="288"/>
    </row>
    <row r="44" spans="1:134" s="87" customFormat="1" ht="15.75">
      <c r="A44" s="288" t="s">
        <v>334</v>
      </c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  <c r="BB44" s="288"/>
      <c r="BC44" s="288"/>
      <c r="BD44" s="288"/>
      <c r="BE44" s="288"/>
      <c r="BF44" s="288"/>
      <c r="BG44" s="288"/>
      <c r="BH44" s="288"/>
      <c r="BI44" s="288"/>
      <c r="BJ44" s="288"/>
      <c r="BK44" s="288"/>
      <c r="BL44" s="288"/>
      <c r="BM44" s="288"/>
      <c r="BN44" s="288"/>
      <c r="BO44" s="288"/>
      <c r="BP44" s="288"/>
      <c r="BQ44" s="288"/>
      <c r="BR44" s="288"/>
      <c r="BS44" s="288"/>
      <c r="BT44" s="288"/>
      <c r="BU44" s="288"/>
      <c r="BV44" s="288"/>
      <c r="BW44" s="288"/>
      <c r="BX44" s="288"/>
      <c r="BY44" s="288"/>
      <c r="BZ44" s="288"/>
      <c r="CA44" s="288"/>
      <c r="CB44" s="288"/>
      <c r="CC44" s="288"/>
      <c r="CD44" s="288"/>
      <c r="CE44" s="288"/>
      <c r="CF44" s="288"/>
      <c r="CG44" s="288"/>
      <c r="CH44" s="288"/>
      <c r="CI44" s="288"/>
      <c r="CJ44" s="288"/>
      <c r="CK44" s="288"/>
      <c r="CL44" s="288"/>
      <c r="CM44" s="288"/>
      <c r="CN44" s="288"/>
      <c r="CO44" s="288"/>
      <c r="CP44" s="288"/>
      <c r="CQ44" s="288"/>
      <c r="CR44" s="288"/>
      <c r="CS44" s="288"/>
      <c r="CT44" s="288"/>
      <c r="CU44" s="288"/>
      <c r="CV44" s="288"/>
      <c r="CW44" s="288"/>
      <c r="CX44" s="288"/>
      <c r="CY44" s="288"/>
      <c r="CZ44" s="288"/>
      <c r="DA44" s="288"/>
      <c r="DB44" s="288"/>
      <c r="DC44" s="288"/>
      <c r="DD44" s="288"/>
      <c r="DE44" s="288"/>
      <c r="DF44" s="288"/>
      <c r="DG44" s="288"/>
      <c r="DH44" s="288"/>
      <c r="DI44" s="288"/>
      <c r="DJ44" s="288"/>
      <c r="DK44" s="288"/>
      <c r="DL44" s="288"/>
      <c r="DM44" s="288"/>
      <c r="DN44" s="288"/>
      <c r="DO44" s="288"/>
      <c r="DP44" s="288"/>
      <c r="DQ44" s="288"/>
      <c r="DR44" s="288"/>
      <c r="DS44" s="288"/>
      <c r="DT44" s="288"/>
      <c r="DU44" s="288"/>
      <c r="DV44" s="288"/>
      <c r="DW44" s="288"/>
      <c r="DX44" s="288"/>
      <c r="DY44" s="288"/>
      <c r="DZ44" s="288"/>
      <c r="EA44" s="288"/>
      <c r="EB44" s="288"/>
      <c r="EC44" s="288"/>
      <c r="ED44" s="288"/>
    </row>
    <row r="45" spans="1:134" s="87" customFormat="1" ht="30" customHeight="1">
      <c r="A45" s="289" t="s">
        <v>335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BQ45" s="289"/>
      <c r="BR45" s="289"/>
      <c r="BS45" s="289"/>
      <c r="BT45" s="289"/>
      <c r="BU45" s="289"/>
      <c r="BV45" s="289"/>
      <c r="BW45" s="289"/>
      <c r="BX45" s="289"/>
      <c r="BY45" s="289"/>
      <c r="BZ45" s="289"/>
      <c r="CA45" s="289"/>
      <c r="CB45" s="289"/>
      <c r="CC45" s="289"/>
      <c r="CD45" s="289"/>
      <c r="CE45" s="289"/>
      <c r="CF45" s="289"/>
      <c r="CG45" s="289"/>
      <c r="CH45" s="289"/>
      <c r="CI45" s="289"/>
      <c r="CJ45" s="289"/>
      <c r="CK45" s="289"/>
      <c r="CL45" s="289"/>
      <c r="CM45" s="289"/>
      <c r="CN45" s="289"/>
      <c r="CO45" s="289"/>
      <c r="CP45" s="289"/>
      <c r="CQ45" s="289"/>
      <c r="CR45" s="289"/>
      <c r="CS45" s="289"/>
      <c r="CT45" s="289"/>
      <c r="CU45" s="289"/>
      <c r="CV45" s="289"/>
      <c r="CW45" s="289"/>
      <c r="CX45" s="289"/>
      <c r="CY45" s="289"/>
      <c r="CZ45" s="289"/>
      <c r="DA45" s="289"/>
      <c r="DB45" s="289"/>
      <c r="DC45" s="289"/>
      <c r="DD45" s="289"/>
      <c r="DE45" s="289"/>
      <c r="DF45" s="289"/>
      <c r="DG45" s="289"/>
      <c r="DH45" s="289"/>
      <c r="DI45" s="289"/>
      <c r="DJ45" s="289"/>
      <c r="DK45" s="289"/>
      <c r="DL45" s="289"/>
      <c r="DM45" s="289"/>
      <c r="DN45" s="289"/>
      <c r="DO45" s="289"/>
      <c r="DP45" s="289"/>
      <c r="DQ45" s="289"/>
      <c r="DR45" s="289"/>
      <c r="DS45" s="289"/>
      <c r="DT45" s="289"/>
      <c r="DU45" s="289"/>
      <c r="DV45" s="289"/>
      <c r="DW45" s="289"/>
      <c r="DX45" s="289"/>
      <c r="DY45" s="289"/>
      <c r="DZ45" s="289"/>
      <c r="EA45" s="289"/>
      <c r="EB45" s="289"/>
      <c r="EC45" s="289"/>
      <c r="ED45" s="289"/>
    </row>
    <row r="46" spans="1:134" s="87" customFormat="1" ht="15.75">
      <c r="A46" s="288" t="s">
        <v>336</v>
      </c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  <c r="AT46" s="288"/>
      <c r="AU46" s="288"/>
      <c r="AV46" s="288"/>
      <c r="AW46" s="288"/>
      <c r="AX46" s="288"/>
      <c r="AY46" s="288"/>
      <c r="AZ46" s="288"/>
      <c r="BA46" s="288"/>
      <c r="BB46" s="288"/>
      <c r="BC46" s="288"/>
      <c r="BD46" s="288"/>
      <c r="BE46" s="288"/>
      <c r="BF46" s="288"/>
      <c r="BG46" s="288"/>
      <c r="BH46" s="288"/>
      <c r="BI46" s="288"/>
      <c r="BJ46" s="288"/>
      <c r="BK46" s="288"/>
      <c r="BL46" s="288"/>
      <c r="BM46" s="288"/>
      <c r="BN46" s="288"/>
      <c r="BO46" s="288"/>
      <c r="BP46" s="288"/>
      <c r="BQ46" s="288"/>
      <c r="BR46" s="288"/>
      <c r="BS46" s="288"/>
      <c r="BT46" s="288"/>
      <c r="BU46" s="288"/>
      <c r="BV46" s="288"/>
      <c r="BW46" s="288"/>
      <c r="BX46" s="288"/>
      <c r="BY46" s="288"/>
      <c r="BZ46" s="288"/>
      <c r="CA46" s="288"/>
      <c r="CB46" s="288"/>
      <c r="CC46" s="288"/>
      <c r="CD46" s="288"/>
      <c r="CE46" s="288"/>
      <c r="CF46" s="288"/>
      <c r="CG46" s="288"/>
      <c r="CH46" s="288"/>
      <c r="CI46" s="288"/>
      <c r="CJ46" s="288"/>
      <c r="CK46" s="288"/>
      <c r="CL46" s="288"/>
      <c r="CM46" s="288"/>
      <c r="CN46" s="288"/>
      <c r="CO46" s="288"/>
      <c r="CP46" s="288"/>
      <c r="CQ46" s="288"/>
      <c r="CR46" s="288"/>
      <c r="CS46" s="288"/>
      <c r="CT46" s="288"/>
      <c r="CU46" s="288"/>
      <c r="CV46" s="288"/>
      <c r="CW46" s="288"/>
      <c r="CX46" s="288"/>
      <c r="CY46" s="288"/>
      <c r="CZ46" s="288"/>
      <c r="DA46" s="288"/>
      <c r="DB46" s="288"/>
      <c r="DC46" s="288"/>
      <c r="DD46" s="288"/>
      <c r="DE46" s="288"/>
      <c r="DF46" s="288"/>
      <c r="DG46" s="288"/>
      <c r="DH46" s="288"/>
      <c r="DI46" s="288"/>
      <c r="DJ46" s="288"/>
      <c r="DK46" s="288"/>
      <c r="DL46" s="288"/>
      <c r="DM46" s="288"/>
      <c r="DN46" s="288"/>
      <c r="DO46" s="288"/>
      <c r="DP46" s="288"/>
      <c r="DQ46" s="288"/>
      <c r="DR46" s="288"/>
      <c r="DS46" s="288"/>
      <c r="DT46" s="288"/>
      <c r="DU46" s="288"/>
      <c r="DV46" s="288"/>
      <c r="DW46" s="288"/>
      <c r="DX46" s="288"/>
      <c r="DY46" s="288"/>
      <c r="DZ46" s="288"/>
      <c r="EA46" s="288"/>
      <c r="EB46" s="288"/>
      <c r="EC46" s="288"/>
      <c r="ED46" s="288"/>
    </row>
    <row r="47" spans="1:134" s="87" customFormat="1" ht="18" customHeight="1">
      <c r="A47" s="288" t="s">
        <v>337</v>
      </c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8"/>
      <c r="BG47" s="288"/>
      <c r="BH47" s="288"/>
      <c r="BI47" s="288"/>
      <c r="BJ47" s="288"/>
      <c r="BK47" s="288"/>
      <c r="BL47" s="288"/>
      <c r="BM47" s="288"/>
      <c r="BN47" s="288"/>
      <c r="BO47" s="288"/>
      <c r="BP47" s="288"/>
      <c r="BQ47" s="288"/>
      <c r="BR47" s="288"/>
      <c r="BS47" s="288"/>
      <c r="BT47" s="288"/>
      <c r="BU47" s="288"/>
      <c r="BV47" s="288"/>
      <c r="BW47" s="288"/>
      <c r="BX47" s="288"/>
      <c r="BY47" s="288"/>
      <c r="BZ47" s="288"/>
      <c r="CA47" s="288"/>
      <c r="CB47" s="288"/>
      <c r="CC47" s="288"/>
      <c r="CD47" s="288"/>
      <c r="CE47" s="288"/>
      <c r="CF47" s="288"/>
      <c r="CG47" s="288"/>
      <c r="CH47" s="288"/>
      <c r="CI47" s="288"/>
      <c r="CJ47" s="288"/>
      <c r="CK47" s="288"/>
      <c r="CL47" s="288"/>
      <c r="CM47" s="288"/>
      <c r="CN47" s="288"/>
      <c r="CO47" s="288"/>
      <c r="CP47" s="288"/>
      <c r="CQ47" s="288"/>
      <c r="CR47" s="288"/>
      <c r="CS47" s="288"/>
      <c r="CT47" s="288"/>
      <c r="CU47" s="288"/>
      <c r="CV47" s="288"/>
      <c r="CW47" s="288"/>
      <c r="CX47" s="288"/>
      <c r="CY47" s="288"/>
      <c r="CZ47" s="288"/>
      <c r="DA47" s="288"/>
      <c r="DB47" s="288"/>
      <c r="DC47" s="288"/>
      <c r="DD47" s="288"/>
      <c r="DE47" s="288"/>
      <c r="DF47" s="288"/>
      <c r="DG47" s="288"/>
      <c r="DH47" s="288"/>
      <c r="DI47" s="288"/>
      <c r="DJ47" s="288"/>
      <c r="DK47" s="288"/>
      <c r="DL47" s="288"/>
      <c r="DM47" s="288"/>
      <c r="DN47" s="288"/>
      <c r="DO47" s="288"/>
      <c r="DP47" s="288"/>
      <c r="DQ47" s="288"/>
      <c r="DR47" s="288"/>
      <c r="DS47" s="288"/>
      <c r="DT47" s="288"/>
      <c r="DU47" s="288"/>
      <c r="DV47" s="288"/>
      <c r="DW47" s="288"/>
      <c r="DX47" s="288"/>
      <c r="DY47" s="288"/>
      <c r="DZ47" s="288"/>
      <c r="EA47" s="288"/>
      <c r="EB47" s="288"/>
      <c r="EC47" s="288"/>
      <c r="ED47" s="288"/>
    </row>
    <row r="48" spans="1:134" s="87" customFormat="1" ht="15.75">
      <c r="A48" s="289" t="s">
        <v>338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289"/>
      <c r="AO48" s="289"/>
      <c r="AP48" s="289"/>
      <c r="AQ48" s="289"/>
      <c r="AR48" s="289"/>
      <c r="AS48" s="289"/>
      <c r="AT48" s="289"/>
      <c r="AU48" s="289"/>
      <c r="AV48" s="289"/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9"/>
      <c r="BN48" s="289"/>
      <c r="BO48" s="289"/>
      <c r="BP48" s="289"/>
      <c r="BQ48" s="289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89"/>
      <c r="CT48" s="289"/>
      <c r="CU48" s="289"/>
      <c r="CV48" s="289"/>
      <c r="CW48" s="289"/>
      <c r="CX48" s="289"/>
      <c r="CY48" s="289"/>
      <c r="CZ48" s="289"/>
      <c r="DA48" s="289"/>
      <c r="DB48" s="289"/>
      <c r="DC48" s="289"/>
      <c r="DD48" s="289"/>
      <c r="DE48" s="289"/>
      <c r="DF48" s="289"/>
      <c r="DG48" s="289"/>
      <c r="DH48" s="289"/>
      <c r="DI48" s="289"/>
      <c r="DJ48" s="289"/>
      <c r="DK48" s="289"/>
      <c r="DL48" s="289"/>
      <c r="DM48" s="289"/>
      <c r="DN48" s="289"/>
      <c r="DO48" s="289"/>
      <c r="DP48" s="289"/>
      <c r="DQ48" s="289"/>
      <c r="DR48" s="289"/>
      <c r="DS48" s="289"/>
      <c r="DT48" s="289"/>
      <c r="DU48" s="289"/>
      <c r="DV48" s="289"/>
      <c r="DW48" s="289"/>
      <c r="DX48" s="289"/>
      <c r="DY48" s="289"/>
      <c r="DZ48" s="289"/>
      <c r="EA48" s="289"/>
      <c r="EB48" s="289"/>
      <c r="EC48" s="289"/>
      <c r="ED48" s="289"/>
    </row>
    <row r="49" spans="1:134" s="87" customFormat="1" ht="15.75">
      <c r="A49" s="288" t="s">
        <v>407</v>
      </c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  <c r="AT49" s="288"/>
      <c r="AU49" s="288"/>
      <c r="AV49" s="288"/>
      <c r="AW49" s="288"/>
      <c r="AX49" s="288"/>
      <c r="AY49" s="288"/>
      <c r="AZ49" s="288"/>
      <c r="BA49" s="288"/>
      <c r="BB49" s="288"/>
      <c r="BC49" s="288"/>
      <c r="BD49" s="288"/>
      <c r="BE49" s="288"/>
      <c r="BF49" s="288"/>
      <c r="BG49" s="288"/>
      <c r="BH49" s="288"/>
      <c r="BI49" s="288"/>
      <c r="BJ49" s="288"/>
      <c r="BK49" s="288"/>
      <c r="BL49" s="288"/>
      <c r="BM49" s="288"/>
      <c r="BN49" s="288"/>
      <c r="BO49" s="288"/>
      <c r="BP49" s="288"/>
      <c r="BQ49" s="288"/>
      <c r="BR49" s="288"/>
      <c r="BS49" s="288"/>
      <c r="BT49" s="288"/>
      <c r="BU49" s="288"/>
      <c r="BV49" s="288"/>
      <c r="BW49" s="288"/>
      <c r="BX49" s="288"/>
      <c r="BY49" s="288"/>
      <c r="BZ49" s="288"/>
      <c r="CA49" s="288"/>
      <c r="CB49" s="288"/>
      <c r="CC49" s="288"/>
      <c r="CD49" s="288"/>
      <c r="CE49" s="288"/>
      <c r="CF49" s="288"/>
      <c r="CG49" s="288"/>
      <c r="CH49" s="288"/>
      <c r="CI49" s="288"/>
      <c r="CJ49" s="288"/>
      <c r="CK49" s="288"/>
      <c r="CL49" s="288"/>
      <c r="CM49" s="288"/>
      <c r="CN49" s="288"/>
      <c r="CO49" s="288"/>
      <c r="CP49" s="288"/>
      <c r="CQ49" s="288"/>
      <c r="CR49" s="288"/>
      <c r="CS49" s="288"/>
      <c r="CT49" s="288"/>
      <c r="CU49" s="288"/>
      <c r="CV49" s="288"/>
      <c r="CW49" s="288"/>
      <c r="CX49" s="288"/>
      <c r="CY49" s="288"/>
      <c r="CZ49" s="288"/>
      <c r="DA49" s="288"/>
      <c r="DB49" s="288"/>
      <c r="DC49" s="288"/>
      <c r="DD49" s="288"/>
      <c r="DE49" s="288"/>
      <c r="DF49" s="288"/>
      <c r="DG49" s="288"/>
      <c r="DH49" s="288"/>
      <c r="DI49" s="288"/>
      <c r="DJ49" s="288"/>
      <c r="DK49" s="288"/>
      <c r="DL49" s="288"/>
      <c r="DM49" s="288"/>
      <c r="DN49" s="288"/>
      <c r="DO49" s="288"/>
      <c r="DP49" s="288"/>
      <c r="DQ49" s="288"/>
      <c r="DR49" s="288"/>
      <c r="DS49" s="288"/>
      <c r="DT49" s="288"/>
      <c r="DU49" s="288"/>
      <c r="DV49" s="288"/>
      <c r="DW49" s="288"/>
      <c r="DX49" s="288"/>
      <c r="DY49" s="288"/>
      <c r="DZ49" s="288"/>
      <c r="EA49" s="288"/>
      <c r="EB49" s="288"/>
      <c r="EC49" s="288"/>
      <c r="ED49" s="288"/>
    </row>
    <row r="50" spans="1:134" s="87" customFormat="1" ht="15.75">
      <c r="A50" s="288" t="s">
        <v>409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288"/>
      <c r="AV50" s="288"/>
      <c r="AW50" s="288"/>
      <c r="AX50" s="288"/>
      <c r="AY50" s="288"/>
      <c r="AZ50" s="288"/>
      <c r="BA50" s="288"/>
      <c r="BB50" s="288"/>
      <c r="BC50" s="288"/>
      <c r="BD50" s="288"/>
      <c r="BE50" s="288"/>
      <c r="BF50" s="288"/>
      <c r="BG50" s="288"/>
      <c r="BH50" s="288"/>
      <c r="BI50" s="288"/>
      <c r="BJ50" s="288"/>
      <c r="BK50" s="288"/>
      <c r="BL50" s="288"/>
      <c r="BM50" s="288"/>
      <c r="BN50" s="288"/>
      <c r="BO50" s="288"/>
      <c r="BP50" s="288"/>
      <c r="BQ50" s="288"/>
      <c r="BR50" s="288"/>
      <c r="BS50" s="288"/>
      <c r="BT50" s="288"/>
      <c r="BU50" s="288"/>
      <c r="BV50" s="288"/>
      <c r="BW50" s="288"/>
      <c r="BX50" s="288"/>
      <c r="BY50" s="288"/>
      <c r="BZ50" s="288"/>
      <c r="CA50" s="288"/>
      <c r="CB50" s="288"/>
      <c r="CC50" s="288"/>
      <c r="CD50" s="288"/>
      <c r="CE50" s="288"/>
      <c r="CF50" s="288"/>
      <c r="CG50" s="288"/>
      <c r="CH50" s="288"/>
      <c r="CI50" s="288"/>
      <c r="CJ50" s="288"/>
      <c r="CK50" s="288"/>
      <c r="CL50" s="288"/>
      <c r="CM50" s="288"/>
      <c r="CN50" s="288"/>
      <c r="CO50" s="288"/>
      <c r="CP50" s="288"/>
      <c r="CQ50" s="288"/>
      <c r="CR50" s="288"/>
      <c r="CS50" s="288"/>
      <c r="CT50" s="288"/>
      <c r="CU50" s="288"/>
      <c r="CV50" s="288"/>
      <c r="CW50" s="288"/>
      <c r="CX50" s="288"/>
      <c r="CY50" s="288"/>
      <c r="CZ50" s="288"/>
      <c r="DA50" s="288"/>
      <c r="DB50" s="288"/>
      <c r="DC50" s="288"/>
      <c r="DD50" s="288"/>
      <c r="DE50" s="288"/>
      <c r="DF50" s="288"/>
      <c r="DG50" s="288"/>
      <c r="DH50" s="288"/>
      <c r="DI50" s="288"/>
      <c r="DJ50" s="288"/>
      <c r="DK50" s="288"/>
      <c r="DL50" s="288"/>
      <c r="DM50" s="288"/>
      <c r="DN50" s="288"/>
      <c r="DO50" s="288"/>
      <c r="DP50" s="288"/>
      <c r="DQ50" s="288"/>
      <c r="DR50" s="288"/>
      <c r="DS50" s="288"/>
      <c r="DT50" s="288"/>
      <c r="DU50" s="288"/>
      <c r="DV50" s="288"/>
      <c r="DW50" s="288"/>
      <c r="DX50" s="288"/>
      <c r="DY50" s="288"/>
      <c r="DZ50" s="288"/>
      <c r="EA50" s="288"/>
      <c r="EB50" s="288"/>
      <c r="EC50" s="288"/>
      <c r="ED50" s="288"/>
    </row>
    <row r="51" spans="1:134" ht="15.75">
      <c r="A51" s="288" t="s">
        <v>408</v>
      </c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88"/>
      <c r="AU51" s="288"/>
      <c r="AV51" s="288"/>
      <c r="AW51" s="288"/>
      <c r="AX51" s="288"/>
      <c r="AY51" s="288"/>
      <c r="AZ51" s="288"/>
      <c r="BA51" s="288"/>
      <c r="BB51" s="288"/>
      <c r="BC51" s="288"/>
      <c r="BD51" s="288"/>
      <c r="BE51" s="288"/>
      <c r="BF51" s="288"/>
      <c r="BG51" s="288"/>
      <c r="BH51" s="288"/>
      <c r="BI51" s="288"/>
      <c r="BJ51" s="288"/>
      <c r="BK51" s="288"/>
      <c r="BL51" s="288"/>
      <c r="BM51" s="288"/>
      <c r="BN51" s="288"/>
      <c r="BO51" s="288"/>
      <c r="BP51" s="288"/>
      <c r="BQ51" s="288"/>
      <c r="BR51" s="288"/>
      <c r="BS51" s="288"/>
      <c r="BT51" s="288"/>
      <c r="BU51" s="288"/>
      <c r="BV51" s="288"/>
      <c r="BW51" s="288"/>
      <c r="BX51" s="288"/>
      <c r="BY51" s="288"/>
      <c r="BZ51" s="288"/>
      <c r="CA51" s="288"/>
      <c r="CB51" s="288"/>
      <c r="CC51" s="288"/>
      <c r="CD51" s="288"/>
      <c r="CE51" s="288"/>
      <c r="CF51" s="288"/>
      <c r="CG51" s="288"/>
      <c r="CH51" s="288"/>
      <c r="CI51" s="288"/>
      <c r="CJ51" s="288"/>
      <c r="CK51" s="288"/>
      <c r="CL51" s="288"/>
      <c r="CM51" s="288"/>
      <c r="CN51" s="288"/>
      <c r="CO51" s="288"/>
      <c r="CP51" s="288"/>
      <c r="CQ51" s="288"/>
      <c r="CR51" s="288"/>
      <c r="CS51" s="288"/>
      <c r="CT51" s="288"/>
      <c r="CU51" s="288"/>
      <c r="CV51" s="288"/>
      <c r="CW51" s="288"/>
      <c r="CX51" s="288"/>
      <c r="CY51" s="288"/>
      <c r="CZ51" s="288"/>
      <c r="DA51" s="288"/>
      <c r="DB51" s="288"/>
      <c r="DC51" s="288"/>
      <c r="DD51" s="288"/>
      <c r="DE51" s="288"/>
      <c r="DF51" s="288"/>
      <c r="DG51" s="288"/>
      <c r="DH51" s="288"/>
      <c r="DI51" s="288"/>
      <c r="DJ51" s="288"/>
      <c r="DK51" s="288"/>
      <c r="DL51" s="288"/>
      <c r="DM51" s="288"/>
      <c r="DN51" s="288"/>
      <c r="DO51" s="288"/>
      <c r="DP51" s="288"/>
      <c r="DQ51" s="288"/>
      <c r="DR51" s="288"/>
      <c r="DS51" s="288"/>
      <c r="DT51" s="288"/>
      <c r="DU51" s="288"/>
      <c r="DV51" s="288"/>
      <c r="DW51" s="288"/>
      <c r="DX51" s="288"/>
      <c r="DY51" s="288"/>
      <c r="DZ51" s="288"/>
      <c r="EA51" s="288"/>
      <c r="EB51" s="288"/>
      <c r="EC51" s="288"/>
      <c r="ED51" s="288"/>
    </row>
  </sheetData>
  <sheetProtection/>
  <mergeCells count="49">
    <mergeCell ref="A23:ED23"/>
    <mergeCell ref="A24:ED24"/>
    <mergeCell ref="A25:ED25"/>
    <mergeCell ref="A51:ED51"/>
    <mergeCell ref="A26:ED26"/>
    <mergeCell ref="A27:ED27"/>
    <mergeCell ref="A28:ED28"/>
    <mergeCell ref="A29:ED29"/>
    <mergeCell ref="A30:ED30"/>
    <mergeCell ref="A31:ED31"/>
    <mergeCell ref="A2:ED2"/>
    <mergeCell ref="A4:ED4"/>
    <mergeCell ref="A5:ED5"/>
    <mergeCell ref="A6:ED6"/>
    <mergeCell ref="A7:ED7"/>
    <mergeCell ref="A8:ED8"/>
    <mergeCell ref="A9:ED9"/>
    <mergeCell ref="A10:ED10"/>
    <mergeCell ref="A11:ED11"/>
    <mergeCell ref="A12:ED12"/>
    <mergeCell ref="A13:ED13"/>
    <mergeCell ref="A14:ED14"/>
    <mergeCell ref="A15:ED15"/>
    <mergeCell ref="A16:ED16"/>
    <mergeCell ref="A17:ED17"/>
    <mergeCell ref="A18:ED18"/>
    <mergeCell ref="A19:ED19"/>
    <mergeCell ref="A20:ED20"/>
    <mergeCell ref="A21:ED21"/>
    <mergeCell ref="A22:ED22"/>
    <mergeCell ref="A32:ED32"/>
    <mergeCell ref="A33:ED33"/>
    <mergeCell ref="A34:ED34"/>
    <mergeCell ref="A35:ED35"/>
    <mergeCell ref="A36:ED36"/>
    <mergeCell ref="A37:ED37"/>
    <mergeCell ref="A38:ED38"/>
    <mergeCell ref="A39:ED39"/>
    <mergeCell ref="A40:ED40"/>
    <mergeCell ref="A41:ED41"/>
    <mergeCell ref="A42:ED42"/>
    <mergeCell ref="A43:ED43"/>
    <mergeCell ref="A44:ED44"/>
    <mergeCell ref="A45:ED45"/>
    <mergeCell ref="A50:ED50"/>
    <mergeCell ref="A46:ED46"/>
    <mergeCell ref="A47:ED47"/>
    <mergeCell ref="A48:ED48"/>
    <mergeCell ref="A49:ED49"/>
  </mergeCells>
  <printOptions/>
  <pageMargins left="0.2362204724409449" right="0.2362204724409449" top="0.7480314960629921" bottom="0.5905511811023623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6">
      <selection activeCell="D32" sqref="D32"/>
    </sheetView>
  </sheetViews>
  <sheetFormatPr defaultColWidth="9.00390625" defaultRowHeight="12.75"/>
  <cols>
    <col min="1" max="1" width="7.875" style="87" customWidth="1"/>
    <col min="2" max="2" width="65.125" style="87" customWidth="1"/>
    <col min="3" max="3" width="13.25390625" style="87" customWidth="1"/>
    <col min="4" max="4" width="25.125" style="87" customWidth="1"/>
    <col min="5" max="5" width="23.75390625" style="137" customWidth="1"/>
    <col min="6" max="6" width="18.625" style="87" customWidth="1"/>
    <col min="7" max="9" width="9.125" style="87" customWidth="1"/>
    <col min="10" max="10" width="13.125" style="87" bestFit="1" customWidth="1"/>
    <col min="11" max="16384" width="9.125" style="87" customWidth="1"/>
  </cols>
  <sheetData>
    <row r="1" spans="1:5" s="80" customFormat="1" ht="45.75" customHeight="1">
      <c r="A1" s="297" t="s">
        <v>410</v>
      </c>
      <c r="B1" s="297"/>
      <c r="C1" s="297"/>
      <c r="D1" s="297"/>
      <c r="E1" s="297"/>
    </row>
    <row r="2" spans="1:5" s="80" customFormat="1" ht="15.75">
      <c r="A2" s="81"/>
      <c r="E2" s="117"/>
    </row>
    <row r="3" spans="1:5" s="83" customFormat="1" ht="15.75">
      <c r="A3" s="82" t="s">
        <v>40</v>
      </c>
      <c r="B3" s="298" t="s">
        <v>3</v>
      </c>
      <c r="C3" s="298"/>
      <c r="D3" s="298"/>
      <c r="E3" s="139" t="s">
        <v>339</v>
      </c>
    </row>
    <row r="4" spans="1:5" s="48" customFormat="1" ht="12">
      <c r="A4" s="18">
        <v>1</v>
      </c>
      <c r="B4" s="299">
        <v>2</v>
      </c>
      <c r="C4" s="271"/>
      <c r="D4" s="272"/>
      <c r="E4" s="18">
        <v>3</v>
      </c>
    </row>
    <row r="5" spans="1:6" s="83" customFormat="1" ht="15.75">
      <c r="A5" s="82"/>
      <c r="B5" s="273" t="s">
        <v>125</v>
      </c>
      <c r="C5" s="274"/>
      <c r="D5" s="275"/>
      <c r="E5" s="140">
        <v>135479641.52</v>
      </c>
      <c r="F5" s="138">
        <f>133188012.56+2291628.96</f>
        <v>135479641.52</v>
      </c>
    </row>
    <row r="6" spans="1:5" s="85" customFormat="1" ht="15.75">
      <c r="A6" s="292"/>
      <c r="B6" s="276" t="s">
        <v>26</v>
      </c>
      <c r="C6" s="277"/>
      <c r="D6" s="278"/>
      <c r="E6" s="141"/>
    </row>
    <row r="7" spans="1:6" s="85" customFormat="1" ht="15.75">
      <c r="A7" s="292"/>
      <c r="B7" s="276" t="s">
        <v>126</v>
      </c>
      <c r="C7" s="277"/>
      <c r="D7" s="278"/>
      <c r="E7" s="141">
        <f>F7</f>
        <v>123254401.03999999</v>
      </c>
      <c r="F7" s="115">
        <f>120962772.08+2291628.96</f>
        <v>123254401.03999999</v>
      </c>
    </row>
    <row r="8" spans="1:5" s="85" customFormat="1" ht="15.75">
      <c r="A8" s="292"/>
      <c r="B8" s="276" t="s">
        <v>8</v>
      </c>
      <c r="C8" s="277"/>
      <c r="D8" s="278"/>
      <c r="E8" s="293">
        <v>119013106.17</v>
      </c>
    </row>
    <row r="9" spans="1:5" s="85" customFormat="1" ht="15.75">
      <c r="A9" s="292"/>
      <c r="B9" s="276" t="s">
        <v>127</v>
      </c>
      <c r="C9" s="277"/>
      <c r="D9" s="278"/>
      <c r="E9" s="293"/>
    </row>
    <row r="10" spans="1:10" s="83" customFormat="1" ht="15.75">
      <c r="A10" s="82"/>
      <c r="B10" s="276" t="s">
        <v>128</v>
      </c>
      <c r="C10" s="277"/>
      <c r="D10" s="278"/>
      <c r="E10" s="141">
        <v>7918282.58</v>
      </c>
      <c r="J10" s="83">
        <v>80098456.97</v>
      </c>
    </row>
    <row r="11" spans="1:5" s="85" customFormat="1" ht="15.75">
      <c r="A11" s="292"/>
      <c r="B11" s="276" t="s">
        <v>8</v>
      </c>
      <c r="C11" s="277"/>
      <c r="D11" s="278"/>
      <c r="E11" s="293">
        <v>2558145.57</v>
      </c>
    </row>
    <row r="12" spans="1:5" s="85" customFormat="1" ht="15.75">
      <c r="A12" s="292"/>
      <c r="B12" s="276" t="s">
        <v>127</v>
      </c>
      <c r="C12" s="277"/>
      <c r="D12" s="278"/>
      <c r="E12" s="293"/>
    </row>
    <row r="13" spans="1:5" s="83" customFormat="1" ht="15.75">
      <c r="A13" s="82"/>
      <c r="B13" s="279" t="s">
        <v>129</v>
      </c>
      <c r="C13" s="279"/>
      <c r="D13" s="279"/>
      <c r="E13" s="143">
        <v>-120898057.33</v>
      </c>
    </row>
    <row r="14" spans="1:5" s="85" customFormat="1" ht="15.75">
      <c r="A14" s="292"/>
      <c r="B14" s="294" t="s">
        <v>26</v>
      </c>
      <c r="C14" s="295"/>
      <c r="D14" s="296"/>
      <c r="E14" s="293">
        <v>256845.26</v>
      </c>
    </row>
    <row r="15" spans="1:5" s="85" customFormat="1" ht="15.75">
      <c r="A15" s="292"/>
      <c r="B15" s="294" t="s">
        <v>130</v>
      </c>
      <c r="C15" s="295"/>
      <c r="D15" s="296"/>
      <c r="E15" s="293"/>
    </row>
    <row r="16" spans="1:5" s="85" customFormat="1" ht="15.75">
      <c r="A16" s="292"/>
      <c r="B16" s="294" t="s">
        <v>8</v>
      </c>
      <c r="C16" s="295"/>
      <c r="D16" s="296"/>
      <c r="E16" s="293">
        <v>256845.26</v>
      </c>
    </row>
    <row r="17" spans="1:5" s="85" customFormat="1" ht="15.75">
      <c r="A17" s="292"/>
      <c r="B17" s="294" t="s">
        <v>131</v>
      </c>
      <c r="C17" s="295"/>
      <c r="D17" s="296"/>
      <c r="E17" s="293"/>
    </row>
    <row r="18" spans="1:5" s="85" customFormat="1" ht="31.5" customHeight="1">
      <c r="A18" s="84"/>
      <c r="B18" s="294" t="s">
        <v>132</v>
      </c>
      <c r="C18" s="295"/>
      <c r="D18" s="296"/>
      <c r="E18" s="141">
        <v>0</v>
      </c>
    </row>
    <row r="19" spans="1:5" s="85" customFormat="1" ht="15.75">
      <c r="A19" s="84"/>
      <c r="B19" s="294" t="s">
        <v>133</v>
      </c>
      <c r="C19" s="295"/>
      <c r="D19" s="296"/>
      <c r="E19" s="141">
        <v>0</v>
      </c>
    </row>
    <row r="20" spans="1:5" s="85" customFormat="1" ht="15.75">
      <c r="A20" s="84"/>
      <c r="B20" s="294" t="s">
        <v>134</v>
      </c>
      <c r="C20" s="295"/>
      <c r="D20" s="296"/>
      <c r="E20" s="141">
        <v>383670.7</v>
      </c>
    </row>
    <row r="21" spans="1:5" s="85" customFormat="1" ht="15.75">
      <c r="A21" s="84"/>
      <c r="B21" s="294" t="s">
        <v>135</v>
      </c>
      <c r="C21" s="295"/>
      <c r="D21" s="296"/>
      <c r="E21" s="141">
        <v>0</v>
      </c>
    </row>
    <row r="22" spans="1:5" s="83" customFormat="1" ht="15.75">
      <c r="A22" s="82"/>
      <c r="B22" s="280" t="s">
        <v>136</v>
      </c>
      <c r="C22" s="281"/>
      <c r="D22" s="282"/>
      <c r="E22" s="142">
        <v>1434685.78</v>
      </c>
    </row>
    <row r="23" spans="1:5" s="85" customFormat="1" ht="15.75">
      <c r="A23" s="292"/>
      <c r="B23" s="283" t="s">
        <v>26</v>
      </c>
      <c r="C23" s="283"/>
      <c r="D23" s="283"/>
      <c r="E23" s="293">
        <v>0</v>
      </c>
    </row>
    <row r="24" spans="1:5" s="85" customFormat="1" ht="15.75">
      <c r="A24" s="292"/>
      <c r="B24" s="283" t="s">
        <v>137</v>
      </c>
      <c r="C24" s="283"/>
      <c r="D24" s="283"/>
      <c r="E24" s="293"/>
    </row>
    <row r="25" spans="1:5" s="85" customFormat="1" ht="15.75">
      <c r="A25" s="84"/>
      <c r="B25" s="283" t="s">
        <v>138</v>
      </c>
      <c r="C25" s="283"/>
      <c r="D25" s="283"/>
      <c r="E25" s="141">
        <v>1375040.7</v>
      </c>
    </row>
    <row r="26" spans="1:5" s="85" customFormat="1" ht="15.75">
      <c r="A26" s="292"/>
      <c r="B26" s="283" t="s">
        <v>8</v>
      </c>
      <c r="C26" s="283"/>
      <c r="D26" s="283"/>
      <c r="E26" s="293">
        <v>0</v>
      </c>
    </row>
    <row r="27" spans="1:5" s="85" customFormat="1" ht="15.75">
      <c r="A27" s="292"/>
      <c r="B27" s="283" t="s">
        <v>139</v>
      </c>
      <c r="C27" s="283"/>
      <c r="D27" s="283"/>
      <c r="E27" s="293"/>
    </row>
    <row r="28" ht="15.75">
      <c r="A28" s="86"/>
    </row>
    <row r="29" ht="15.75">
      <c r="A29" s="86"/>
    </row>
  </sheetData>
  <sheetProtection/>
  <mergeCells count="39">
    <mergeCell ref="B27:D27"/>
    <mergeCell ref="B23:D23"/>
    <mergeCell ref="B24:D24"/>
    <mergeCell ref="B25:D25"/>
    <mergeCell ref="B26:D26"/>
    <mergeCell ref="B19:D19"/>
    <mergeCell ref="B20:D20"/>
    <mergeCell ref="B21:D21"/>
    <mergeCell ref="B22:D22"/>
    <mergeCell ref="B13:D13"/>
    <mergeCell ref="B14:D14"/>
    <mergeCell ref="B15:D15"/>
    <mergeCell ref="B16:D16"/>
    <mergeCell ref="A8:A9"/>
    <mergeCell ref="E8:E9"/>
    <mergeCell ref="A11:A12"/>
    <mergeCell ref="E11:E12"/>
    <mergeCell ref="B8:D8"/>
    <mergeCell ref="B9:D9"/>
    <mergeCell ref="B10:D10"/>
    <mergeCell ref="B11:D11"/>
    <mergeCell ref="B12:D12"/>
    <mergeCell ref="A6:A7"/>
    <mergeCell ref="A1:E1"/>
    <mergeCell ref="B3:D3"/>
    <mergeCell ref="B4:D4"/>
    <mergeCell ref="B5:D5"/>
    <mergeCell ref="B6:D6"/>
    <mergeCell ref="B7:D7"/>
    <mergeCell ref="A26:A27"/>
    <mergeCell ref="E26:E27"/>
    <mergeCell ref="A14:A15"/>
    <mergeCell ref="E14:E15"/>
    <mergeCell ref="A23:A24"/>
    <mergeCell ref="E23:E24"/>
    <mergeCell ref="A16:A17"/>
    <mergeCell ref="E16:E17"/>
    <mergeCell ref="B17:D17"/>
    <mergeCell ref="B18:D1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58"/>
  <sheetViews>
    <sheetView view="pageBreakPreview" zoomScale="85" zoomScaleNormal="85" zoomScaleSheetLayoutView="85" workbookViewId="0" topLeftCell="B1">
      <selection activeCell="F61" sqref="F61"/>
    </sheetView>
  </sheetViews>
  <sheetFormatPr defaultColWidth="9.00390625" defaultRowHeight="12.75"/>
  <cols>
    <col min="1" max="1" width="9.125" style="32" hidden="1" customWidth="1"/>
    <col min="2" max="2" width="28.00390625" style="32" customWidth="1"/>
    <col min="3" max="3" width="9.125" style="32" customWidth="1"/>
    <col min="4" max="4" width="13.625" style="157" customWidth="1"/>
    <col min="5" max="6" width="14.75390625" style="54" customWidth="1"/>
    <col min="7" max="7" width="14.75390625" style="32" customWidth="1"/>
    <col min="8" max="8" width="13.75390625" style="32" customWidth="1"/>
    <col min="9" max="9" width="12.00390625" style="32" customWidth="1"/>
    <col min="10" max="10" width="11.875" style="32" customWidth="1"/>
    <col min="11" max="11" width="14.375" style="54" customWidth="1"/>
    <col min="12" max="12" width="13.875" style="32" customWidth="1"/>
    <col min="13" max="13" width="17.625" style="32" customWidth="1"/>
    <col min="14" max="16384" width="9.125" style="32" customWidth="1"/>
  </cols>
  <sheetData>
    <row r="1" spans="1:12" s="182" customFormat="1" ht="21.75" customHeight="1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61" t="s">
        <v>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ht="12.75" customHeight="1">
      <c r="A3" s="261" t="s">
        <v>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</row>
    <row r="4" spans="1:12" ht="18" customHeight="1">
      <c r="A4" s="261" t="s">
        <v>169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1:12" ht="15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ht="15">
      <c r="B6" s="38"/>
    </row>
    <row r="7" spans="2:12" s="45" customFormat="1" ht="30" customHeight="1">
      <c r="B7" s="263" t="s">
        <v>3</v>
      </c>
      <c r="C7" s="263" t="s">
        <v>4</v>
      </c>
      <c r="D7" s="263" t="s">
        <v>5</v>
      </c>
      <c r="E7" s="262" t="s">
        <v>6</v>
      </c>
      <c r="F7" s="262"/>
      <c r="G7" s="262"/>
      <c r="H7" s="262"/>
      <c r="I7" s="262"/>
      <c r="J7" s="262"/>
      <c r="K7" s="262"/>
      <c r="L7" s="262"/>
    </row>
    <row r="8" spans="2:12" s="45" customFormat="1" ht="15">
      <c r="B8" s="330"/>
      <c r="C8" s="330"/>
      <c r="D8" s="330"/>
      <c r="E8" s="331" t="s">
        <v>7</v>
      </c>
      <c r="F8" s="262" t="s">
        <v>8</v>
      </c>
      <c r="G8" s="262"/>
      <c r="H8" s="262"/>
      <c r="I8" s="262"/>
      <c r="J8" s="262"/>
      <c r="K8" s="262"/>
      <c r="L8" s="262"/>
    </row>
    <row r="9" spans="2:12" s="45" customFormat="1" ht="169.5" customHeight="1">
      <c r="B9" s="330"/>
      <c r="C9" s="330"/>
      <c r="D9" s="330"/>
      <c r="E9" s="332"/>
      <c r="F9" s="334" t="s">
        <v>122</v>
      </c>
      <c r="G9" s="263" t="s">
        <v>9</v>
      </c>
      <c r="H9" s="344" t="s">
        <v>10</v>
      </c>
      <c r="I9" s="263" t="s">
        <v>11</v>
      </c>
      <c r="J9" s="263" t="s">
        <v>12</v>
      </c>
      <c r="K9" s="262" t="s">
        <v>13</v>
      </c>
      <c r="L9" s="262"/>
    </row>
    <row r="10" spans="2:12" s="45" customFormat="1" ht="21.75" customHeight="1">
      <c r="B10" s="264"/>
      <c r="C10" s="264"/>
      <c r="D10" s="264"/>
      <c r="E10" s="333"/>
      <c r="F10" s="335"/>
      <c r="G10" s="264"/>
      <c r="H10" s="345"/>
      <c r="I10" s="264"/>
      <c r="J10" s="264"/>
      <c r="K10" s="42" t="s">
        <v>7</v>
      </c>
      <c r="L10" s="42" t="s">
        <v>14</v>
      </c>
    </row>
    <row r="11" spans="2:12" s="55" customFormat="1" ht="15">
      <c r="B11" s="78">
        <v>1</v>
      </c>
      <c r="C11" s="78">
        <v>2</v>
      </c>
      <c r="D11" s="78">
        <v>3</v>
      </c>
      <c r="E11" s="78">
        <v>4</v>
      </c>
      <c r="F11" s="78">
        <v>5</v>
      </c>
      <c r="G11" s="79" t="s">
        <v>340</v>
      </c>
      <c r="H11" s="78">
        <v>6</v>
      </c>
      <c r="I11" s="78">
        <v>7</v>
      </c>
      <c r="J11" s="78">
        <v>8</v>
      </c>
      <c r="K11" s="78">
        <v>9</v>
      </c>
      <c r="L11" s="79" t="s">
        <v>124</v>
      </c>
    </row>
    <row r="12" spans="2:13" s="54" customFormat="1" ht="28.5">
      <c r="B12" s="62" t="s">
        <v>15</v>
      </c>
      <c r="C12" s="63">
        <v>100</v>
      </c>
      <c r="D12" s="63" t="s">
        <v>16</v>
      </c>
      <c r="E12" s="57">
        <f>F12+K12+H12</f>
        <v>28253700</v>
      </c>
      <c r="F12" s="57">
        <f>SUM(F16)</f>
        <v>24383700</v>
      </c>
      <c r="G12" s="57">
        <f>SUM(G16)</f>
        <v>0</v>
      </c>
      <c r="H12" s="57">
        <f>H20</f>
        <v>970000</v>
      </c>
      <c r="I12" s="57">
        <f>I20</f>
        <v>0</v>
      </c>
      <c r="J12" s="57">
        <f>SUM(J16)</f>
        <v>0</v>
      </c>
      <c r="K12" s="57">
        <f>K16+K18+K19+K21+K22</f>
        <v>2900000</v>
      </c>
      <c r="L12" s="57"/>
      <c r="M12" s="66">
        <f>9328122+2390400+27712600+13105800</f>
        <v>52536922</v>
      </c>
    </row>
    <row r="13" spans="2:13" ht="15">
      <c r="B13" s="35" t="s">
        <v>8</v>
      </c>
      <c r="C13" s="337">
        <v>110</v>
      </c>
      <c r="D13" s="337"/>
      <c r="E13" s="338"/>
      <c r="F13" s="339"/>
      <c r="G13" s="336"/>
      <c r="H13" s="343" t="s">
        <v>16</v>
      </c>
      <c r="I13" s="343" t="s">
        <v>16</v>
      </c>
      <c r="J13" s="343" t="s">
        <v>16</v>
      </c>
      <c r="K13" s="338"/>
      <c r="L13" s="341"/>
      <c r="M13" s="66">
        <f>E12-M12</f>
        <v>-24283222</v>
      </c>
    </row>
    <row r="14" spans="2:13" ht="15">
      <c r="B14" s="51" t="s">
        <v>17</v>
      </c>
      <c r="C14" s="337"/>
      <c r="D14" s="337"/>
      <c r="E14" s="338"/>
      <c r="F14" s="340"/>
      <c r="G14" s="336"/>
      <c r="H14" s="343"/>
      <c r="I14" s="343"/>
      <c r="J14" s="343"/>
      <c r="K14" s="338"/>
      <c r="L14" s="342"/>
      <c r="M14" s="36"/>
    </row>
    <row r="15" spans="2:13" ht="15">
      <c r="B15" s="51"/>
      <c r="C15" s="60"/>
      <c r="D15" s="56"/>
      <c r="E15" s="57"/>
      <c r="F15" s="57"/>
      <c r="G15" s="58"/>
      <c r="H15" s="59"/>
      <c r="I15" s="59"/>
      <c r="J15" s="59"/>
      <c r="K15" s="57"/>
      <c r="L15" s="59"/>
      <c r="M15" s="36"/>
    </row>
    <row r="16" spans="2:13" ht="30">
      <c r="B16" s="51" t="s">
        <v>18</v>
      </c>
      <c r="C16" s="56">
        <v>120</v>
      </c>
      <c r="D16" s="56">
        <v>130</v>
      </c>
      <c r="E16" s="59">
        <f>F16+K16</f>
        <v>27283700</v>
      </c>
      <c r="F16" s="59">
        <v>24383700</v>
      </c>
      <c r="G16" s="58"/>
      <c r="H16" s="59" t="s">
        <v>16</v>
      </c>
      <c r="I16" s="59" t="s">
        <v>16</v>
      </c>
      <c r="J16" s="59"/>
      <c r="K16" s="59">
        <v>2900000</v>
      </c>
      <c r="L16" s="59"/>
      <c r="M16" s="36"/>
    </row>
    <row r="17" spans="2:13" ht="15">
      <c r="B17" s="51"/>
      <c r="C17" s="60"/>
      <c r="D17" s="56"/>
      <c r="E17" s="59"/>
      <c r="F17" s="59"/>
      <c r="G17" s="58"/>
      <c r="H17" s="59"/>
      <c r="I17" s="59"/>
      <c r="J17" s="59"/>
      <c r="K17" s="59"/>
      <c r="L17" s="59"/>
      <c r="M17" s="36"/>
    </row>
    <row r="18" spans="2:13" ht="45">
      <c r="B18" s="51" t="s">
        <v>19</v>
      </c>
      <c r="C18" s="56">
        <v>130</v>
      </c>
      <c r="D18" s="56"/>
      <c r="E18" s="59"/>
      <c r="F18" s="59"/>
      <c r="G18" s="58"/>
      <c r="H18" s="59" t="s">
        <v>16</v>
      </c>
      <c r="I18" s="59" t="s">
        <v>16</v>
      </c>
      <c r="J18" s="59" t="s">
        <v>16</v>
      </c>
      <c r="K18" s="59"/>
      <c r="L18" s="59"/>
      <c r="M18" s="36"/>
    </row>
    <row r="19" spans="2:13" ht="76.5" customHeight="1">
      <c r="B19" s="51" t="s">
        <v>20</v>
      </c>
      <c r="C19" s="56">
        <v>140</v>
      </c>
      <c r="D19" s="56">
        <v>180</v>
      </c>
      <c r="E19" s="59"/>
      <c r="F19" s="59"/>
      <c r="G19" s="58"/>
      <c r="H19" s="59" t="s">
        <v>16</v>
      </c>
      <c r="I19" s="59" t="s">
        <v>16</v>
      </c>
      <c r="J19" s="59" t="s">
        <v>16</v>
      </c>
      <c r="K19" s="59"/>
      <c r="L19" s="59"/>
      <c r="M19" s="36"/>
    </row>
    <row r="20" spans="2:13" ht="35.25" customHeight="1">
      <c r="B20" s="51" t="s">
        <v>21</v>
      </c>
      <c r="C20" s="56">
        <v>150</v>
      </c>
      <c r="D20" s="56">
        <v>241</v>
      </c>
      <c r="E20" s="59">
        <f>F20+G20+H20+I20</f>
        <v>970000</v>
      </c>
      <c r="F20" s="59"/>
      <c r="G20" s="58"/>
      <c r="H20" s="59">
        <v>970000</v>
      </c>
      <c r="I20" s="59"/>
      <c r="J20" s="59" t="s">
        <v>16</v>
      </c>
      <c r="K20" s="59" t="s">
        <v>16</v>
      </c>
      <c r="L20" s="59"/>
      <c r="M20" s="36"/>
    </row>
    <row r="21" spans="2:13" ht="21" customHeight="1">
      <c r="B21" s="51" t="s">
        <v>22</v>
      </c>
      <c r="C21" s="56">
        <v>160</v>
      </c>
      <c r="D21" s="56"/>
      <c r="E21" s="59"/>
      <c r="F21" s="59"/>
      <c r="G21" s="58"/>
      <c r="H21" s="59" t="s">
        <v>16</v>
      </c>
      <c r="I21" s="59" t="s">
        <v>16</v>
      </c>
      <c r="J21" s="59" t="s">
        <v>16</v>
      </c>
      <c r="K21" s="59"/>
      <c r="L21" s="59"/>
      <c r="M21" s="36"/>
    </row>
    <row r="22" spans="2:13" ht="19.5" customHeight="1">
      <c r="B22" s="51" t="s">
        <v>23</v>
      </c>
      <c r="C22" s="56">
        <v>180</v>
      </c>
      <c r="D22" s="56" t="s">
        <v>16</v>
      </c>
      <c r="E22" s="59"/>
      <c r="F22" s="59"/>
      <c r="G22" s="58"/>
      <c r="H22" s="59" t="s">
        <v>16</v>
      </c>
      <c r="I22" s="59" t="s">
        <v>16</v>
      </c>
      <c r="J22" s="59" t="s">
        <v>16</v>
      </c>
      <c r="K22" s="59"/>
      <c r="L22" s="59"/>
      <c r="M22" s="36"/>
    </row>
    <row r="23" spans="2:13" ht="15">
      <c r="B23" s="51"/>
      <c r="C23" s="60"/>
      <c r="D23" s="56"/>
      <c r="E23" s="59"/>
      <c r="F23" s="59"/>
      <c r="G23" s="58"/>
      <c r="H23" s="59"/>
      <c r="I23" s="59"/>
      <c r="J23" s="59"/>
      <c r="K23" s="59"/>
      <c r="L23" s="59"/>
      <c r="M23" s="36"/>
    </row>
    <row r="24" spans="2:13" ht="28.5">
      <c r="B24" s="62" t="s">
        <v>24</v>
      </c>
      <c r="C24" s="63">
        <v>200</v>
      </c>
      <c r="D24" s="63" t="s">
        <v>16</v>
      </c>
      <c r="E24" s="57">
        <f aca="true" t="shared" si="0" ref="E24:J24">E25+E32+E38+E39+E43</f>
        <v>28253700</v>
      </c>
      <c r="F24" s="57">
        <f t="shared" si="0"/>
        <v>24383700</v>
      </c>
      <c r="G24" s="57">
        <f t="shared" si="0"/>
        <v>0</v>
      </c>
      <c r="H24" s="57">
        <f t="shared" si="0"/>
        <v>970000</v>
      </c>
      <c r="I24" s="57">
        <f t="shared" si="0"/>
        <v>0</v>
      </c>
      <c r="J24" s="57">
        <f t="shared" si="0"/>
        <v>0</v>
      </c>
      <c r="K24" s="57">
        <f>K25+K30+K38+K39+K40</f>
        <v>2900000</v>
      </c>
      <c r="L24" s="57">
        <f>L25+L32+L38+L39+L43</f>
        <v>0</v>
      </c>
      <c r="M24" s="36"/>
    </row>
    <row r="25" spans="2:13" ht="30">
      <c r="B25" s="51" t="s">
        <v>25</v>
      </c>
      <c r="C25" s="56">
        <v>210</v>
      </c>
      <c r="D25" s="56">
        <v>110</v>
      </c>
      <c r="E25" s="59">
        <f>F25+K25+H25</f>
        <v>16142200</v>
      </c>
      <c r="F25" s="59">
        <f>F26+F28+F29</f>
        <v>16142200</v>
      </c>
      <c r="G25" s="59"/>
      <c r="H25" s="59"/>
      <c r="I25" s="59"/>
      <c r="J25" s="59"/>
      <c r="K25" s="59"/>
      <c r="L25" s="59"/>
      <c r="M25" s="36"/>
    </row>
    <row r="26" spans="2:13" ht="15">
      <c r="B26" s="35" t="s">
        <v>26</v>
      </c>
      <c r="C26" s="337">
        <v>211</v>
      </c>
      <c r="D26" s="337">
        <v>111</v>
      </c>
      <c r="E26" s="343">
        <f>F26+K26+H26</f>
        <v>12394200</v>
      </c>
      <c r="F26" s="341">
        <f>7607400+2324600+2462200</f>
        <v>12394200</v>
      </c>
      <c r="G26" s="336"/>
      <c r="H26" s="343"/>
      <c r="I26" s="343"/>
      <c r="J26" s="343"/>
      <c r="K26" s="343"/>
      <c r="L26" s="341"/>
      <c r="M26" s="36"/>
    </row>
    <row r="27" spans="2:13" ht="19.5" customHeight="1">
      <c r="B27" s="51" t="s">
        <v>388</v>
      </c>
      <c r="C27" s="337"/>
      <c r="D27" s="337"/>
      <c r="E27" s="343"/>
      <c r="F27" s="342"/>
      <c r="G27" s="336"/>
      <c r="H27" s="343"/>
      <c r="I27" s="343"/>
      <c r="J27" s="343"/>
      <c r="K27" s="343"/>
      <c r="L27" s="342"/>
      <c r="M27" s="36"/>
    </row>
    <row r="28" spans="2:13" ht="21" customHeight="1">
      <c r="B28" s="51" t="s">
        <v>390</v>
      </c>
      <c r="C28" s="56">
        <v>212</v>
      </c>
      <c r="D28" s="56">
        <v>112</v>
      </c>
      <c r="E28" s="59">
        <f>F28+K28+H28</f>
        <v>5000</v>
      </c>
      <c r="F28" s="156">
        <v>5000</v>
      </c>
      <c r="G28" s="58"/>
      <c r="H28" s="59"/>
      <c r="I28" s="59"/>
      <c r="J28" s="59"/>
      <c r="K28" s="59"/>
      <c r="L28" s="156"/>
      <c r="M28" s="36"/>
    </row>
    <row r="29" spans="2:13" ht="31.5" customHeight="1">
      <c r="B29" s="51" t="s">
        <v>389</v>
      </c>
      <c r="C29" s="56">
        <v>213</v>
      </c>
      <c r="D29" s="56">
        <v>119</v>
      </c>
      <c r="E29" s="59">
        <f>F29+K29+H29</f>
        <v>3743000</v>
      </c>
      <c r="F29" s="156">
        <f>2297400+702000+743600</f>
        <v>3743000</v>
      </c>
      <c r="G29" s="58"/>
      <c r="H29" s="59"/>
      <c r="I29" s="59"/>
      <c r="J29" s="59"/>
      <c r="K29" s="59"/>
      <c r="L29" s="156"/>
      <c r="M29" s="36"/>
    </row>
    <row r="30" spans="2:13" ht="30">
      <c r="B30" s="51" t="s">
        <v>27</v>
      </c>
      <c r="C30" s="56">
        <v>220</v>
      </c>
      <c r="D30" s="56"/>
      <c r="E30" s="59"/>
      <c r="F30" s="59"/>
      <c r="G30" s="58"/>
      <c r="H30" s="59"/>
      <c r="I30" s="59"/>
      <c r="J30" s="59"/>
      <c r="K30" s="59"/>
      <c r="L30" s="59"/>
      <c r="M30" s="36"/>
    </row>
    <row r="31" spans="2:13" ht="15">
      <c r="B31" s="35" t="s">
        <v>26</v>
      </c>
      <c r="C31" s="60"/>
      <c r="D31" s="56"/>
      <c r="E31" s="59"/>
      <c r="F31" s="59"/>
      <c r="G31" s="58"/>
      <c r="H31" s="59"/>
      <c r="I31" s="59"/>
      <c r="J31" s="59"/>
      <c r="K31" s="59"/>
      <c r="L31" s="59"/>
      <c r="M31" s="36"/>
    </row>
    <row r="32" spans="2:13" ht="30">
      <c r="B32" s="51" t="s">
        <v>28</v>
      </c>
      <c r="C32" s="56">
        <v>230</v>
      </c>
      <c r="D32" s="56">
        <v>850</v>
      </c>
      <c r="E32" s="59">
        <f>F32+K32+H32</f>
        <v>3528900</v>
      </c>
      <c r="F32" s="59">
        <f>F34+F35+F36</f>
        <v>3528900</v>
      </c>
      <c r="G32" s="58"/>
      <c r="H32" s="59"/>
      <c r="I32" s="59"/>
      <c r="J32" s="59"/>
      <c r="K32" s="59"/>
      <c r="L32" s="59"/>
      <c r="M32" s="36"/>
    </row>
    <row r="33" spans="2:13" ht="15">
      <c r="B33" s="35" t="s">
        <v>26</v>
      </c>
      <c r="C33" s="60"/>
      <c r="D33" s="56"/>
      <c r="E33" s="59"/>
      <c r="F33" s="59"/>
      <c r="G33" s="58"/>
      <c r="H33" s="59"/>
      <c r="I33" s="59"/>
      <c r="J33" s="59"/>
      <c r="K33" s="59"/>
      <c r="L33" s="59"/>
      <c r="M33" s="36"/>
    </row>
    <row r="34" spans="2:13" ht="30">
      <c r="B34" s="160" t="s">
        <v>391</v>
      </c>
      <c r="C34" s="56">
        <v>231</v>
      </c>
      <c r="D34" s="56">
        <v>851</v>
      </c>
      <c r="E34" s="59">
        <f>F34+K34+H34</f>
        <v>3494300</v>
      </c>
      <c r="F34" s="59">
        <v>3494300</v>
      </c>
      <c r="G34" s="58"/>
      <c r="H34" s="59"/>
      <c r="I34" s="59"/>
      <c r="J34" s="59"/>
      <c r="K34" s="59"/>
      <c r="L34" s="59"/>
      <c r="M34" s="36"/>
    </row>
    <row r="35" spans="2:13" ht="15">
      <c r="B35" s="160" t="s">
        <v>392</v>
      </c>
      <c r="C35" s="56">
        <v>232</v>
      </c>
      <c r="D35" s="56">
        <v>852</v>
      </c>
      <c r="E35" s="59">
        <f>F35+K35+H35</f>
        <v>0</v>
      </c>
      <c r="F35" s="59"/>
      <c r="G35" s="58"/>
      <c r="H35" s="59"/>
      <c r="I35" s="59"/>
      <c r="J35" s="59"/>
      <c r="K35" s="59"/>
      <c r="L35" s="59"/>
      <c r="M35" s="36"/>
    </row>
    <row r="36" spans="2:13" ht="45">
      <c r="B36" s="160" t="s">
        <v>393</v>
      </c>
      <c r="C36" s="56">
        <v>233</v>
      </c>
      <c r="D36" s="56">
        <v>853</v>
      </c>
      <c r="E36" s="59">
        <f>F36+K36+H36</f>
        <v>34600</v>
      </c>
      <c r="F36" s="59">
        <v>34600</v>
      </c>
      <c r="G36" s="58"/>
      <c r="H36" s="59"/>
      <c r="I36" s="59"/>
      <c r="J36" s="59"/>
      <c r="K36" s="59"/>
      <c r="L36" s="59"/>
      <c r="M36" s="36"/>
    </row>
    <row r="37" spans="2:13" ht="33.75" customHeight="1">
      <c r="B37" s="51" t="s">
        <v>113</v>
      </c>
      <c r="C37" s="56">
        <v>240</v>
      </c>
      <c r="D37" s="56"/>
      <c r="E37" s="59"/>
      <c r="F37" s="59"/>
      <c r="G37" s="58"/>
      <c r="H37" s="59"/>
      <c r="I37" s="59"/>
      <c r="J37" s="59"/>
      <c r="K37" s="59"/>
      <c r="L37" s="59"/>
      <c r="M37" s="36"/>
    </row>
    <row r="38" spans="2:13" ht="45">
      <c r="B38" s="51" t="s">
        <v>29</v>
      </c>
      <c r="C38" s="56">
        <v>250</v>
      </c>
      <c r="D38" s="56"/>
      <c r="E38" s="59"/>
      <c r="F38" s="59"/>
      <c r="G38" s="58"/>
      <c r="H38" s="59"/>
      <c r="I38" s="59"/>
      <c r="J38" s="59"/>
      <c r="K38" s="59"/>
      <c r="L38" s="59"/>
      <c r="M38" s="36"/>
    </row>
    <row r="39" spans="2:13" ht="39" customHeight="1">
      <c r="B39" s="51" t="s">
        <v>30</v>
      </c>
      <c r="C39" s="56">
        <v>260</v>
      </c>
      <c r="D39" s="56">
        <v>244</v>
      </c>
      <c r="E39" s="59">
        <f>F39+K39+H39</f>
        <v>8582600</v>
      </c>
      <c r="F39" s="59">
        <f>24383700-19671100</f>
        <v>4712600</v>
      </c>
      <c r="G39" s="59"/>
      <c r="H39" s="59">
        <v>970000</v>
      </c>
      <c r="I39" s="59"/>
      <c r="J39" s="59"/>
      <c r="K39" s="59">
        <v>2900000</v>
      </c>
      <c r="L39" s="59"/>
      <c r="M39" s="36"/>
    </row>
    <row r="40" spans="2:13" ht="30">
      <c r="B40" s="51" t="s">
        <v>31</v>
      </c>
      <c r="C40" s="56">
        <v>300</v>
      </c>
      <c r="D40" s="56" t="s">
        <v>16</v>
      </c>
      <c r="E40" s="59"/>
      <c r="F40" s="59"/>
      <c r="G40" s="58"/>
      <c r="H40" s="59"/>
      <c r="I40" s="59"/>
      <c r="J40" s="59"/>
      <c r="K40" s="59"/>
      <c r="L40" s="59"/>
      <c r="M40" s="36"/>
    </row>
    <row r="41" spans="2:13" ht="15">
      <c r="B41" s="35" t="s">
        <v>26</v>
      </c>
      <c r="C41" s="337">
        <v>310</v>
      </c>
      <c r="D41" s="337"/>
      <c r="E41" s="343"/>
      <c r="F41" s="341"/>
      <c r="G41" s="336"/>
      <c r="H41" s="343"/>
      <c r="I41" s="343"/>
      <c r="J41" s="343"/>
      <c r="K41" s="343"/>
      <c r="L41" s="341"/>
      <c r="M41" s="36"/>
    </row>
    <row r="42" spans="2:13" ht="16.5" customHeight="1">
      <c r="B42" s="51" t="s">
        <v>32</v>
      </c>
      <c r="C42" s="337"/>
      <c r="D42" s="337"/>
      <c r="E42" s="343"/>
      <c r="F42" s="342"/>
      <c r="G42" s="336"/>
      <c r="H42" s="343"/>
      <c r="I42" s="343"/>
      <c r="J42" s="343"/>
      <c r="K42" s="343"/>
      <c r="L42" s="342"/>
      <c r="M42" s="36"/>
    </row>
    <row r="43" spans="2:13" ht="15">
      <c r="B43" s="51" t="s">
        <v>33</v>
      </c>
      <c r="C43" s="56">
        <v>320</v>
      </c>
      <c r="D43" s="56"/>
      <c r="E43" s="59"/>
      <c r="F43" s="59"/>
      <c r="G43" s="58"/>
      <c r="H43" s="59"/>
      <c r="I43" s="59"/>
      <c r="J43" s="59"/>
      <c r="K43" s="59"/>
      <c r="L43" s="59"/>
      <c r="M43" s="36"/>
    </row>
    <row r="44" spans="2:13" ht="30">
      <c r="B44" s="51" t="s">
        <v>34</v>
      </c>
      <c r="C44" s="56">
        <v>400</v>
      </c>
      <c r="D44" s="56"/>
      <c r="E44" s="59"/>
      <c r="F44" s="59"/>
      <c r="G44" s="58"/>
      <c r="H44" s="59"/>
      <c r="I44" s="59"/>
      <c r="J44" s="59"/>
      <c r="K44" s="59"/>
      <c r="L44" s="59"/>
      <c r="M44" s="36"/>
    </row>
    <row r="45" spans="2:13" ht="15.75" customHeight="1">
      <c r="B45" s="35" t="s">
        <v>26</v>
      </c>
      <c r="C45" s="337">
        <v>410</v>
      </c>
      <c r="D45" s="337"/>
      <c r="E45" s="343"/>
      <c r="F45" s="341"/>
      <c r="G45" s="336"/>
      <c r="H45" s="343"/>
      <c r="I45" s="343"/>
      <c r="J45" s="343"/>
      <c r="K45" s="343"/>
      <c r="L45" s="341"/>
      <c r="M45" s="36"/>
    </row>
    <row r="46" spans="2:13" ht="30">
      <c r="B46" s="51" t="s">
        <v>35</v>
      </c>
      <c r="C46" s="337"/>
      <c r="D46" s="337"/>
      <c r="E46" s="343"/>
      <c r="F46" s="342"/>
      <c r="G46" s="336"/>
      <c r="H46" s="343"/>
      <c r="I46" s="343"/>
      <c r="J46" s="343"/>
      <c r="K46" s="343"/>
      <c r="L46" s="342"/>
      <c r="M46" s="36"/>
    </row>
    <row r="47" spans="2:13" ht="15">
      <c r="B47" s="51" t="s">
        <v>36</v>
      </c>
      <c r="C47" s="56">
        <v>420</v>
      </c>
      <c r="D47" s="56"/>
      <c r="E47" s="59"/>
      <c r="F47" s="59"/>
      <c r="G47" s="58"/>
      <c r="H47" s="59"/>
      <c r="I47" s="59"/>
      <c r="J47" s="59"/>
      <c r="K47" s="59"/>
      <c r="L47" s="59"/>
      <c r="M47" s="36"/>
    </row>
    <row r="48" spans="2:13" ht="30">
      <c r="B48" s="51" t="s">
        <v>37</v>
      </c>
      <c r="C48" s="56">
        <v>500</v>
      </c>
      <c r="D48" s="56" t="s">
        <v>16</v>
      </c>
      <c r="E48" s="59">
        <f>F48+H48+K48</f>
        <v>215840.76</v>
      </c>
      <c r="F48" s="59">
        <v>69244.86</v>
      </c>
      <c r="G48" s="58"/>
      <c r="H48" s="59"/>
      <c r="I48" s="59"/>
      <c r="J48" s="59"/>
      <c r="K48" s="59">
        <v>146595.9</v>
      </c>
      <c r="L48" s="59"/>
      <c r="M48" s="36"/>
    </row>
    <row r="49" spans="2:13" ht="30">
      <c r="B49" s="51" t="s">
        <v>38</v>
      </c>
      <c r="C49" s="56">
        <v>600</v>
      </c>
      <c r="D49" s="56" t="s">
        <v>16</v>
      </c>
      <c r="E49" s="59">
        <f>F49+H49+K49</f>
        <v>215840.76</v>
      </c>
      <c r="F49" s="59">
        <f>F48</f>
        <v>69244.86</v>
      </c>
      <c r="G49" s="58"/>
      <c r="H49" s="59"/>
      <c r="I49" s="59"/>
      <c r="J49" s="59"/>
      <c r="K49" s="59">
        <f>K48</f>
        <v>146595.9</v>
      </c>
      <c r="L49" s="59"/>
      <c r="M49" s="36"/>
    </row>
    <row r="50" spans="5:13" ht="15">
      <c r="E50" s="61"/>
      <c r="F50" s="61"/>
      <c r="G50" s="36"/>
      <c r="H50" s="36"/>
      <c r="I50" s="36"/>
      <c r="J50" s="36"/>
      <c r="K50" s="61"/>
      <c r="L50" s="36"/>
      <c r="M50" s="36"/>
    </row>
    <row r="51" spans="5:13" ht="15">
      <c r="E51" s="61"/>
      <c r="F51" s="61"/>
      <c r="G51" s="36"/>
      <c r="H51" s="36"/>
      <c r="I51" s="36"/>
      <c r="J51" s="36"/>
      <c r="K51" s="61"/>
      <c r="L51" s="36"/>
      <c r="M51" s="36"/>
    </row>
    <row r="52" spans="5:13" ht="15">
      <c r="E52" s="61"/>
      <c r="F52" s="61"/>
      <c r="G52" s="36"/>
      <c r="H52" s="36"/>
      <c r="I52" s="36"/>
      <c r="J52" s="36"/>
      <c r="K52" s="61"/>
      <c r="L52" s="36"/>
      <c r="M52" s="36"/>
    </row>
    <row r="53" spans="5:13" ht="15">
      <c r="E53" s="61" t="e">
        <f>'Р 1.1'!J21+#REF!+#REF!+'Р 1.4'!D26+'Р 2,3,4'!#REF!+'Р 2,3,4'!E13+'Р 2,3,4'!#REF!+#REF!+#REF!+#REF!+'Р 5.5,5.6'!E23+'Р 5.5,5.6'!E28+'Р 5.5,5.6'!E47+'5.7бюд'!E75+'5.7вб'!E73</f>
        <v>#REF!</v>
      </c>
      <c r="F53" s="61" t="e">
        <f>E12-E53</f>
        <v>#REF!</v>
      </c>
      <c r="G53" s="36"/>
      <c r="H53" s="36"/>
      <c r="I53" s="36"/>
      <c r="J53" s="36"/>
      <c r="K53" s="61"/>
      <c r="L53" s="36"/>
      <c r="M53" s="36"/>
    </row>
    <row r="54" spans="5:13" ht="15">
      <c r="E54" s="61"/>
      <c r="F54" s="61"/>
      <c r="G54" s="36"/>
      <c r="H54" s="36"/>
      <c r="I54" s="36"/>
      <c r="J54" s="36"/>
      <c r="K54" s="61"/>
      <c r="L54" s="36"/>
      <c r="M54" s="36"/>
    </row>
    <row r="55" spans="5:13" ht="15">
      <c r="E55" s="61"/>
      <c r="F55" s="61"/>
      <c r="G55" s="36"/>
      <c r="H55" s="36"/>
      <c r="I55" s="36"/>
      <c r="J55" s="36"/>
      <c r="K55" s="61"/>
      <c r="L55" s="36"/>
      <c r="M55" s="36"/>
    </row>
    <row r="56" spans="5:13" ht="15">
      <c r="E56" s="61"/>
      <c r="F56" s="61"/>
      <c r="G56" s="36"/>
      <c r="H56" s="36"/>
      <c r="I56" s="36"/>
      <c r="J56" s="36"/>
      <c r="K56" s="61"/>
      <c r="L56" s="36"/>
      <c r="M56" s="36"/>
    </row>
    <row r="57" spans="5:13" ht="15">
      <c r="E57" s="61"/>
      <c r="F57" s="61"/>
      <c r="G57" s="36"/>
      <c r="H57" s="36"/>
      <c r="I57" s="36"/>
      <c r="J57" s="36"/>
      <c r="K57" s="61"/>
      <c r="L57" s="36"/>
      <c r="M57" s="36"/>
    </row>
    <row r="58" spans="5:13" ht="15">
      <c r="E58" s="61"/>
      <c r="F58" s="61"/>
      <c r="G58" s="36"/>
      <c r="H58" s="36"/>
      <c r="I58" s="36"/>
      <c r="J58" s="36"/>
      <c r="K58" s="61"/>
      <c r="L58" s="36"/>
      <c r="M58" s="36"/>
    </row>
  </sheetData>
  <mergeCells count="57">
    <mergeCell ref="G9:G10"/>
    <mergeCell ref="H9:H10"/>
    <mergeCell ref="I9:I10"/>
    <mergeCell ref="L45:L46"/>
    <mergeCell ref="H45:H46"/>
    <mergeCell ref="I45:I46"/>
    <mergeCell ref="J45:J46"/>
    <mergeCell ref="K45:K46"/>
    <mergeCell ref="G45:G46"/>
    <mergeCell ref="L41:L42"/>
    <mergeCell ref="C45:C46"/>
    <mergeCell ref="D45:D46"/>
    <mergeCell ref="E45:E46"/>
    <mergeCell ref="F45:F46"/>
    <mergeCell ref="H41:H42"/>
    <mergeCell ref="I41:I42"/>
    <mergeCell ref="J41:J42"/>
    <mergeCell ref="K41:K42"/>
    <mergeCell ref="G41:G42"/>
    <mergeCell ref="C41:C42"/>
    <mergeCell ref="D41:D42"/>
    <mergeCell ref="E41:E42"/>
    <mergeCell ref="F41:F42"/>
    <mergeCell ref="L26:L27"/>
    <mergeCell ref="H26:H27"/>
    <mergeCell ref="I26:I27"/>
    <mergeCell ref="J26:J27"/>
    <mergeCell ref="K26:K27"/>
    <mergeCell ref="G26:G27"/>
    <mergeCell ref="C26:C27"/>
    <mergeCell ref="D26:D27"/>
    <mergeCell ref="E26:E27"/>
    <mergeCell ref="F26:F27"/>
    <mergeCell ref="L13:L14"/>
    <mergeCell ref="H13:H14"/>
    <mergeCell ref="I13:I14"/>
    <mergeCell ref="J13:J14"/>
    <mergeCell ref="K13:K14"/>
    <mergeCell ref="G13:G14"/>
    <mergeCell ref="C13:C14"/>
    <mergeCell ref="D13:D14"/>
    <mergeCell ref="E13:E14"/>
    <mergeCell ref="F13:F14"/>
    <mergeCell ref="F8:L8"/>
    <mergeCell ref="J9:J10"/>
    <mergeCell ref="K9:L9"/>
    <mergeCell ref="A5:L5"/>
    <mergeCell ref="E7:L7"/>
    <mergeCell ref="B7:B10"/>
    <mergeCell ref="C7:C10"/>
    <mergeCell ref="D7:D10"/>
    <mergeCell ref="E8:E10"/>
    <mergeCell ref="F9:F10"/>
    <mergeCell ref="A1:L1"/>
    <mergeCell ref="A2:L2"/>
    <mergeCell ref="A3:L3"/>
    <mergeCell ref="A4:L4"/>
  </mergeCells>
  <hyperlinks>
    <hyperlink ref="H9" r:id="rId1" display="consultantplus://offline/ref=1BF242F4A6F15E814FFDA8BA8883EDE30F4271FE77F4760EED3F2D51CFF7ACAEBC7E84A718462B3AK"/>
  </hyperlinks>
  <printOptions/>
  <pageMargins left="0.3937007874015748" right="0.3937007874015748" top="0.1968503937007874" bottom="0.1968503937007874" header="0.5118110236220472" footer="0.5118110236220472"/>
  <pageSetup fitToHeight="2" fitToWidth="1" horizontalDpi="600" verticalDpi="600" orientation="landscape" paperSize="9" scale="84" r:id="rId2"/>
  <rowBreaks count="1" manualBreakCount="1">
    <brk id="19" max="11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58"/>
  <sheetViews>
    <sheetView view="pageBreakPreview" zoomScale="85" zoomScaleNormal="85" zoomScaleSheetLayoutView="85" workbookViewId="0" topLeftCell="B1">
      <selection activeCell="A1" sqref="A1:IV1"/>
    </sheetView>
  </sheetViews>
  <sheetFormatPr defaultColWidth="9.00390625" defaultRowHeight="12.75"/>
  <cols>
    <col min="1" max="1" width="9.125" style="32" hidden="1" customWidth="1"/>
    <col min="2" max="2" width="28.00390625" style="32" customWidth="1"/>
    <col min="3" max="3" width="9.125" style="32" customWidth="1"/>
    <col min="4" max="4" width="13.625" style="157" customWidth="1"/>
    <col min="5" max="6" width="14.75390625" style="54" customWidth="1"/>
    <col min="7" max="7" width="14.75390625" style="32" customWidth="1"/>
    <col min="8" max="8" width="13.75390625" style="32" customWidth="1"/>
    <col min="9" max="9" width="12.00390625" style="32" customWidth="1"/>
    <col min="10" max="10" width="11.875" style="32" customWidth="1"/>
    <col min="11" max="11" width="14.375" style="54" customWidth="1"/>
    <col min="12" max="12" width="13.875" style="32" customWidth="1"/>
    <col min="13" max="13" width="17.625" style="32" customWidth="1"/>
    <col min="14" max="16384" width="9.125" style="32" customWidth="1"/>
  </cols>
  <sheetData>
    <row r="1" spans="1:12" s="186" customFormat="1" ht="21.75" customHeight="1">
      <c r="A1" s="346" t="s">
        <v>170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2" ht="12.75" customHeight="1">
      <c r="A2" s="261" t="s">
        <v>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ht="12.75" customHeight="1">
      <c r="A3" s="261" t="s">
        <v>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</row>
    <row r="4" spans="1:12" ht="18" customHeight="1">
      <c r="A4" s="261" t="s">
        <v>349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1:12" ht="15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ht="15">
      <c r="B6" s="38"/>
    </row>
    <row r="7" spans="2:12" s="45" customFormat="1" ht="30" customHeight="1">
      <c r="B7" s="263" t="s">
        <v>3</v>
      </c>
      <c r="C7" s="263" t="s">
        <v>4</v>
      </c>
      <c r="D7" s="263" t="s">
        <v>5</v>
      </c>
      <c r="E7" s="262" t="s">
        <v>6</v>
      </c>
      <c r="F7" s="262"/>
      <c r="G7" s="262"/>
      <c r="H7" s="262"/>
      <c r="I7" s="262"/>
      <c r="J7" s="262"/>
      <c r="K7" s="262"/>
      <c r="L7" s="262"/>
    </row>
    <row r="8" spans="2:12" s="45" customFormat="1" ht="15">
      <c r="B8" s="330"/>
      <c r="C8" s="330"/>
      <c r="D8" s="330"/>
      <c r="E8" s="331" t="s">
        <v>7</v>
      </c>
      <c r="F8" s="262" t="s">
        <v>8</v>
      </c>
      <c r="G8" s="262"/>
      <c r="H8" s="262"/>
      <c r="I8" s="262"/>
      <c r="J8" s="262"/>
      <c r="K8" s="262"/>
      <c r="L8" s="262"/>
    </row>
    <row r="9" spans="2:12" s="45" customFormat="1" ht="169.5" customHeight="1">
      <c r="B9" s="330"/>
      <c r="C9" s="330"/>
      <c r="D9" s="330"/>
      <c r="E9" s="332"/>
      <c r="F9" s="334" t="s">
        <v>122</v>
      </c>
      <c r="G9" s="263" t="s">
        <v>9</v>
      </c>
      <c r="H9" s="344" t="s">
        <v>10</v>
      </c>
      <c r="I9" s="263" t="s">
        <v>11</v>
      </c>
      <c r="J9" s="263" t="s">
        <v>12</v>
      </c>
      <c r="K9" s="262" t="s">
        <v>13</v>
      </c>
      <c r="L9" s="262"/>
    </row>
    <row r="10" spans="2:12" s="45" customFormat="1" ht="21.75" customHeight="1">
      <c r="B10" s="264"/>
      <c r="C10" s="264"/>
      <c r="D10" s="264"/>
      <c r="E10" s="333"/>
      <c r="F10" s="335"/>
      <c r="G10" s="264"/>
      <c r="H10" s="345"/>
      <c r="I10" s="264"/>
      <c r="J10" s="264"/>
      <c r="K10" s="42" t="s">
        <v>7</v>
      </c>
      <c r="L10" s="42" t="s">
        <v>14</v>
      </c>
    </row>
    <row r="11" spans="2:12" s="55" customFormat="1" ht="15">
      <c r="B11" s="78">
        <v>1</v>
      </c>
      <c r="C11" s="78">
        <v>2</v>
      </c>
      <c r="D11" s="78">
        <v>3</v>
      </c>
      <c r="E11" s="78">
        <v>4</v>
      </c>
      <c r="F11" s="78">
        <v>5</v>
      </c>
      <c r="G11" s="79" t="s">
        <v>340</v>
      </c>
      <c r="H11" s="78">
        <v>6</v>
      </c>
      <c r="I11" s="78">
        <v>7</v>
      </c>
      <c r="J11" s="78">
        <v>8</v>
      </c>
      <c r="K11" s="78">
        <v>9</v>
      </c>
      <c r="L11" s="79" t="s">
        <v>124</v>
      </c>
    </row>
    <row r="12" spans="2:13" s="54" customFormat="1" ht="28.5">
      <c r="B12" s="62" t="s">
        <v>15</v>
      </c>
      <c r="C12" s="63">
        <v>100</v>
      </c>
      <c r="D12" s="63" t="s">
        <v>16</v>
      </c>
      <c r="E12" s="57">
        <f>F12+K12+H12</f>
        <v>28919500</v>
      </c>
      <c r="F12" s="57">
        <f>SUM(F16)</f>
        <v>25066400</v>
      </c>
      <c r="G12" s="57">
        <f>SUM(G16)</f>
        <v>0</v>
      </c>
      <c r="H12" s="57">
        <f>H20</f>
        <v>953100</v>
      </c>
      <c r="I12" s="57">
        <f>I20</f>
        <v>0</v>
      </c>
      <c r="J12" s="57">
        <f>SUM(J16)</f>
        <v>0</v>
      </c>
      <c r="K12" s="57">
        <f>K16+K18+K19+K21+K22</f>
        <v>2900000</v>
      </c>
      <c r="L12" s="57"/>
      <c r="M12" s="66">
        <f>9328122+2390400+27712600+13105800</f>
        <v>52536922</v>
      </c>
    </row>
    <row r="13" spans="2:13" ht="15">
      <c r="B13" s="35" t="s">
        <v>8</v>
      </c>
      <c r="C13" s="337">
        <v>110</v>
      </c>
      <c r="D13" s="337">
        <v>120</v>
      </c>
      <c r="E13" s="338"/>
      <c r="F13" s="339"/>
      <c r="G13" s="336"/>
      <c r="H13" s="343" t="s">
        <v>16</v>
      </c>
      <c r="I13" s="343" t="s">
        <v>16</v>
      </c>
      <c r="J13" s="343" t="s">
        <v>16</v>
      </c>
      <c r="K13" s="338"/>
      <c r="L13" s="341"/>
      <c r="M13" s="66">
        <f>E12-M12</f>
        <v>-23617422</v>
      </c>
    </row>
    <row r="14" spans="2:13" ht="15">
      <c r="B14" s="51" t="s">
        <v>17</v>
      </c>
      <c r="C14" s="337"/>
      <c r="D14" s="337"/>
      <c r="E14" s="338"/>
      <c r="F14" s="340"/>
      <c r="G14" s="336"/>
      <c r="H14" s="343"/>
      <c r="I14" s="343"/>
      <c r="J14" s="343"/>
      <c r="K14" s="338"/>
      <c r="L14" s="342"/>
      <c r="M14" s="36"/>
    </row>
    <row r="15" spans="2:13" ht="15">
      <c r="B15" s="51"/>
      <c r="C15" s="60"/>
      <c r="D15" s="56"/>
      <c r="E15" s="57"/>
      <c r="F15" s="57"/>
      <c r="G15" s="58"/>
      <c r="H15" s="59"/>
      <c r="I15" s="59"/>
      <c r="J15" s="59"/>
      <c r="K15" s="57"/>
      <c r="L15" s="59"/>
      <c r="M15" s="36"/>
    </row>
    <row r="16" spans="2:13" ht="30">
      <c r="B16" s="51" t="s">
        <v>18</v>
      </c>
      <c r="C16" s="56">
        <v>120</v>
      </c>
      <c r="D16" s="56">
        <v>130</v>
      </c>
      <c r="E16" s="59">
        <f>F16+K16</f>
        <v>27966400</v>
      </c>
      <c r="F16" s="59">
        <v>25066400</v>
      </c>
      <c r="G16" s="58"/>
      <c r="H16" s="59" t="s">
        <v>16</v>
      </c>
      <c r="I16" s="59" t="s">
        <v>16</v>
      </c>
      <c r="J16" s="59"/>
      <c r="K16" s="59">
        <v>2900000</v>
      </c>
      <c r="L16" s="59"/>
      <c r="M16" s="36"/>
    </row>
    <row r="17" spans="2:13" ht="15">
      <c r="B17" s="51"/>
      <c r="C17" s="60"/>
      <c r="D17" s="56"/>
      <c r="E17" s="59"/>
      <c r="F17" s="59"/>
      <c r="G17" s="58"/>
      <c r="H17" s="59"/>
      <c r="I17" s="59"/>
      <c r="J17" s="59"/>
      <c r="K17" s="59"/>
      <c r="L17" s="59"/>
      <c r="M17" s="36"/>
    </row>
    <row r="18" spans="2:13" ht="45">
      <c r="B18" s="51" t="s">
        <v>19</v>
      </c>
      <c r="C18" s="56">
        <v>130</v>
      </c>
      <c r="D18" s="56"/>
      <c r="E18" s="59"/>
      <c r="F18" s="59"/>
      <c r="G18" s="58"/>
      <c r="H18" s="59" t="s">
        <v>16</v>
      </c>
      <c r="I18" s="59" t="s">
        <v>16</v>
      </c>
      <c r="J18" s="59" t="s">
        <v>16</v>
      </c>
      <c r="K18" s="59"/>
      <c r="L18" s="59"/>
      <c r="M18" s="36"/>
    </row>
    <row r="19" spans="2:13" ht="76.5" customHeight="1">
      <c r="B19" s="51" t="s">
        <v>20</v>
      </c>
      <c r="C19" s="56">
        <v>140</v>
      </c>
      <c r="D19" s="56">
        <v>180</v>
      </c>
      <c r="E19" s="59"/>
      <c r="F19" s="59"/>
      <c r="G19" s="58"/>
      <c r="H19" s="59" t="s">
        <v>16</v>
      </c>
      <c r="I19" s="59" t="s">
        <v>16</v>
      </c>
      <c r="J19" s="59" t="s">
        <v>16</v>
      </c>
      <c r="K19" s="59"/>
      <c r="L19" s="59"/>
      <c r="M19" s="36"/>
    </row>
    <row r="20" spans="2:13" ht="35.25" customHeight="1">
      <c r="B20" s="51" t="s">
        <v>21</v>
      </c>
      <c r="C20" s="56">
        <v>150</v>
      </c>
      <c r="D20" s="56">
        <v>241</v>
      </c>
      <c r="E20" s="59">
        <f>F20+G20+H20+I20</f>
        <v>953100</v>
      </c>
      <c r="F20" s="59"/>
      <c r="G20" s="58"/>
      <c r="H20" s="59">
        <v>953100</v>
      </c>
      <c r="I20" s="59"/>
      <c r="J20" s="59" t="s">
        <v>16</v>
      </c>
      <c r="K20" s="59" t="s">
        <v>16</v>
      </c>
      <c r="L20" s="59"/>
      <c r="M20" s="36"/>
    </row>
    <row r="21" spans="2:13" ht="21" customHeight="1">
      <c r="B21" s="51" t="s">
        <v>22</v>
      </c>
      <c r="C21" s="56">
        <v>160</v>
      </c>
      <c r="D21" s="56"/>
      <c r="E21" s="59"/>
      <c r="F21" s="59"/>
      <c r="G21" s="58"/>
      <c r="H21" s="59" t="s">
        <v>16</v>
      </c>
      <c r="I21" s="59" t="s">
        <v>16</v>
      </c>
      <c r="J21" s="59" t="s">
        <v>16</v>
      </c>
      <c r="K21" s="59"/>
      <c r="L21" s="59"/>
      <c r="M21" s="36"/>
    </row>
    <row r="22" spans="2:13" ht="19.5" customHeight="1">
      <c r="B22" s="51" t="s">
        <v>23</v>
      </c>
      <c r="C22" s="56">
        <v>180</v>
      </c>
      <c r="D22" s="56" t="s">
        <v>16</v>
      </c>
      <c r="E22" s="59"/>
      <c r="F22" s="59"/>
      <c r="G22" s="58"/>
      <c r="H22" s="59" t="s">
        <v>16</v>
      </c>
      <c r="I22" s="59" t="s">
        <v>16</v>
      </c>
      <c r="J22" s="59" t="s">
        <v>16</v>
      </c>
      <c r="K22" s="59"/>
      <c r="L22" s="59"/>
      <c r="M22" s="36"/>
    </row>
    <row r="23" spans="2:13" ht="15">
      <c r="B23" s="51"/>
      <c r="C23" s="60"/>
      <c r="D23" s="56"/>
      <c r="E23" s="59"/>
      <c r="F23" s="59"/>
      <c r="G23" s="58"/>
      <c r="H23" s="59"/>
      <c r="I23" s="59"/>
      <c r="J23" s="59"/>
      <c r="K23" s="59"/>
      <c r="L23" s="59"/>
      <c r="M23" s="36"/>
    </row>
    <row r="24" spans="2:13" ht="28.5">
      <c r="B24" s="62" t="s">
        <v>24</v>
      </c>
      <c r="C24" s="63">
        <v>200</v>
      </c>
      <c r="D24" s="63" t="s">
        <v>16</v>
      </c>
      <c r="E24" s="57">
        <f aca="true" t="shared" si="0" ref="E24:J24">E25+E32+E38+E39+E43</f>
        <v>28919500</v>
      </c>
      <c r="F24" s="57">
        <f t="shared" si="0"/>
        <v>25066400</v>
      </c>
      <c r="G24" s="57">
        <f t="shared" si="0"/>
        <v>0</v>
      </c>
      <c r="H24" s="57">
        <f t="shared" si="0"/>
        <v>953100</v>
      </c>
      <c r="I24" s="57">
        <f t="shared" si="0"/>
        <v>0</v>
      </c>
      <c r="J24" s="57">
        <f t="shared" si="0"/>
        <v>0</v>
      </c>
      <c r="K24" s="57">
        <f>K25+K30+K38+K39+K40</f>
        <v>2900000</v>
      </c>
      <c r="L24" s="57">
        <f>L25+L32+L38+L39+L43</f>
        <v>0</v>
      </c>
      <c r="M24" s="36"/>
    </row>
    <row r="25" spans="2:13" ht="30">
      <c r="B25" s="51" t="s">
        <v>25</v>
      </c>
      <c r="C25" s="56">
        <v>210</v>
      </c>
      <c r="D25" s="56">
        <v>210</v>
      </c>
      <c r="E25" s="59">
        <f>F25+K25+H25</f>
        <v>14149300</v>
      </c>
      <c r="F25" s="59">
        <f>F26+F28+F29</f>
        <v>14149300</v>
      </c>
      <c r="G25" s="59"/>
      <c r="H25" s="59"/>
      <c r="I25" s="59"/>
      <c r="J25" s="59"/>
      <c r="K25" s="59"/>
      <c r="L25" s="59"/>
      <c r="M25" s="36"/>
    </row>
    <row r="26" spans="2:13" ht="15">
      <c r="B26" s="35" t="s">
        <v>26</v>
      </c>
      <c r="C26" s="337">
        <v>211</v>
      </c>
      <c r="D26" s="337">
        <v>111</v>
      </c>
      <c r="E26" s="343">
        <f>F26+K26+H26</f>
        <v>10817100</v>
      </c>
      <c r="F26" s="341">
        <f>6822600+2072300+1922200</f>
        <v>10817100</v>
      </c>
      <c r="G26" s="336"/>
      <c r="H26" s="343"/>
      <c r="I26" s="343"/>
      <c r="J26" s="343"/>
      <c r="K26" s="343"/>
      <c r="L26" s="341"/>
      <c r="M26" s="36"/>
    </row>
    <row r="27" spans="2:13" ht="19.5" customHeight="1">
      <c r="B27" s="51" t="s">
        <v>388</v>
      </c>
      <c r="C27" s="337"/>
      <c r="D27" s="337"/>
      <c r="E27" s="343"/>
      <c r="F27" s="342"/>
      <c r="G27" s="336"/>
      <c r="H27" s="343"/>
      <c r="I27" s="343"/>
      <c r="J27" s="343"/>
      <c r="K27" s="343"/>
      <c r="L27" s="342"/>
      <c r="M27" s="36"/>
    </row>
    <row r="28" spans="2:13" ht="21" customHeight="1">
      <c r="B28" s="51" t="s">
        <v>390</v>
      </c>
      <c r="C28" s="56">
        <v>212</v>
      </c>
      <c r="D28" s="56">
        <v>112</v>
      </c>
      <c r="E28" s="59">
        <f>F28+K28+H28</f>
        <v>65500</v>
      </c>
      <c r="F28" s="156">
        <v>65500</v>
      </c>
      <c r="G28" s="58"/>
      <c r="H28" s="59"/>
      <c r="I28" s="59"/>
      <c r="J28" s="59"/>
      <c r="K28" s="59"/>
      <c r="L28" s="156"/>
      <c r="M28" s="36"/>
    </row>
    <row r="29" spans="2:13" ht="31.5" customHeight="1">
      <c r="B29" s="51" t="s">
        <v>389</v>
      </c>
      <c r="C29" s="56">
        <v>213</v>
      </c>
      <c r="D29" s="56">
        <v>119</v>
      </c>
      <c r="E29" s="59">
        <f>F29+K29+H29</f>
        <v>3266700</v>
      </c>
      <c r="F29" s="156">
        <f>2060400+625800+580500</f>
        <v>3266700</v>
      </c>
      <c r="G29" s="58"/>
      <c r="H29" s="59"/>
      <c r="I29" s="59"/>
      <c r="J29" s="59"/>
      <c r="K29" s="59"/>
      <c r="L29" s="156"/>
      <c r="M29" s="36"/>
    </row>
    <row r="30" spans="2:13" ht="30">
      <c r="B30" s="51" t="s">
        <v>27</v>
      </c>
      <c r="C30" s="56">
        <v>220</v>
      </c>
      <c r="D30" s="56"/>
      <c r="E30" s="59"/>
      <c r="F30" s="59"/>
      <c r="G30" s="58"/>
      <c r="H30" s="59"/>
      <c r="I30" s="59"/>
      <c r="J30" s="59"/>
      <c r="K30" s="59"/>
      <c r="L30" s="59"/>
      <c r="M30" s="36"/>
    </row>
    <row r="31" spans="2:13" ht="15">
      <c r="B31" s="35" t="s">
        <v>26</v>
      </c>
      <c r="C31" s="60"/>
      <c r="D31" s="56"/>
      <c r="E31" s="59"/>
      <c r="F31" s="59"/>
      <c r="G31" s="58"/>
      <c r="H31" s="59"/>
      <c r="I31" s="59"/>
      <c r="J31" s="59"/>
      <c r="K31" s="59"/>
      <c r="L31" s="59"/>
      <c r="M31" s="36"/>
    </row>
    <row r="32" spans="2:13" ht="30">
      <c r="B32" s="51" t="s">
        <v>28</v>
      </c>
      <c r="C32" s="56">
        <v>230</v>
      </c>
      <c r="D32" s="56">
        <v>850</v>
      </c>
      <c r="E32" s="59">
        <f>F32+K32+H32</f>
        <v>842100</v>
      </c>
      <c r="F32" s="59">
        <f>F34+F35+F36</f>
        <v>842100</v>
      </c>
      <c r="G32" s="58"/>
      <c r="H32" s="59"/>
      <c r="I32" s="59"/>
      <c r="J32" s="59"/>
      <c r="K32" s="59"/>
      <c r="L32" s="59"/>
      <c r="M32" s="36"/>
    </row>
    <row r="33" spans="2:13" ht="15">
      <c r="B33" s="35" t="s">
        <v>26</v>
      </c>
      <c r="C33" s="60"/>
      <c r="D33" s="56"/>
      <c r="E33" s="59"/>
      <c r="F33" s="59"/>
      <c r="G33" s="58"/>
      <c r="H33" s="59"/>
      <c r="I33" s="59"/>
      <c r="J33" s="59"/>
      <c r="K33" s="59"/>
      <c r="L33" s="59"/>
      <c r="M33" s="36"/>
    </row>
    <row r="34" spans="2:13" ht="30">
      <c r="B34" s="160" t="s">
        <v>391</v>
      </c>
      <c r="C34" s="56">
        <v>231</v>
      </c>
      <c r="D34" s="56">
        <v>851</v>
      </c>
      <c r="E34" s="59">
        <f>F34+K34+H34</f>
        <v>811200</v>
      </c>
      <c r="F34" s="59">
        <v>811200</v>
      </c>
      <c r="G34" s="58"/>
      <c r="H34" s="59"/>
      <c r="I34" s="59"/>
      <c r="J34" s="59"/>
      <c r="K34" s="59"/>
      <c r="L34" s="59"/>
      <c r="M34" s="36"/>
    </row>
    <row r="35" spans="2:13" ht="15">
      <c r="B35" s="160" t="s">
        <v>392</v>
      </c>
      <c r="C35" s="56">
        <v>232</v>
      </c>
      <c r="D35" s="56">
        <v>852</v>
      </c>
      <c r="E35" s="59">
        <f>F35+K35+H35</f>
        <v>0</v>
      </c>
      <c r="F35" s="59"/>
      <c r="G35" s="58"/>
      <c r="H35" s="59"/>
      <c r="I35" s="59"/>
      <c r="J35" s="59"/>
      <c r="K35" s="59"/>
      <c r="L35" s="59"/>
      <c r="M35" s="36"/>
    </row>
    <row r="36" spans="2:13" ht="45">
      <c r="B36" s="160" t="s">
        <v>393</v>
      </c>
      <c r="C36" s="56">
        <v>233</v>
      </c>
      <c r="D36" s="56">
        <v>853</v>
      </c>
      <c r="E36" s="59">
        <f>F36+K36+H36</f>
        <v>30900</v>
      </c>
      <c r="F36" s="59">
        <v>30900</v>
      </c>
      <c r="G36" s="58"/>
      <c r="H36" s="59"/>
      <c r="I36" s="59"/>
      <c r="J36" s="59"/>
      <c r="K36" s="59"/>
      <c r="L36" s="59"/>
      <c r="M36" s="36"/>
    </row>
    <row r="37" spans="2:13" ht="33.75" customHeight="1">
      <c r="B37" s="51" t="s">
        <v>113</v>
      </c>
      <c r="C37" s="56">
        <v>240</v>
      </c>
      <c r="D37" s="56"/>
      <c r="E37" s="59"/>
      <c r="F37" s="59"/>
      <c r="G37" s="58"/>
      <c r="H37" s="59"/>
      <c r="I37" s="59"/>
      <c r="J37" s="59"/>
      <c r="K37" s="59"/>
      <c r="L37" s="59"/>
      <c r="M37" s="36"/>
    </row>
    <row r="38" spans="2:13" ht="45">
      <c r="B38" s="51" t="s">
        <v>29</v>
      </c>
      <c r="C38" s="56">
        <v>250</v>
      </c>
      <c r="D38" s="56"/>
      <c r="E38" s="59"/>
      <c r="F38" s="59"/>
      <c r="G38" s="58"/>
      <c r="H38" s="59"/>
      <c r="I38" s="59"/>
      <c r="J38" s="59"/>
      <c r="K38" s="59"/>
      <c r="L38" s="59"/>
      <c r="M38" s="36"/>
    </row>
    <row r="39" spans="2:13" ht="39" customHeight="1">
      <c r="B39" s="51" t="s">
        <v>30</v>
      </c>
      <c r="C39" s="56">
        <v>260</v>
      </c>
      <c r="D39" s="56">
        <v>244</v>
      </c>
      <c r="E39" s="59">
        <f>F39+K39+H39</f>
        <v>13928100</v>
      </c>
      <c r="F39" s="59">
        <f>25066400-14991400</f>
        <v>10075000</v>
      </c>
      <c r="G39" s="59"/>
      <c r="H39" s="59">
        <v>953100</v>
      </c>
      <c r="I39" s="59"/>
      <c r="J39" s="59"/>
      <c r="K39" s="59">
        <v>2900000</v>
      </c>
      <c r="L39" s="59"/>
      <c r="M39" s="36"/>
    </row>
    <row r="40" spans="2:13" ht="30">
      <c r="B40" s="51" t="s">
        <v>31</v>
      </c>
      <c r="C40" s="56">
        <v>300</v>
      </c>
      <c r="D40" s="56" t="s">
        <v>16</v>
      </c>
      <c r="E40" s="59"/>
      <c r="F40" s="59"/>
      <c r="G40" s="58"/>
      <c r="H40" s="59"/>
      <c r="I40" s="59"/>
      <c r="J40" s="59"/>
      <c r="K40" s="59"/>
      <c r="L40" s="59"/>
      <c r="M40" s="36"/>
    </row>
    <row r="41" spans="2:13" ht="15">
      <c r="B41" s="35" t="s">
        <v>26</v>
      </c>
      <c r="C41" s="337">
        <v>310</v>
      </c>
      <c r="D41" s="337"/>
      <c r="E41" s="343"/>
      <c r="F41" s="341"/>
      <c r="G41" s="336"/>
      <c r="H41" s="343"/>
      <c r="I41" s="343"/>
      <c r="J41" s="343"/>
      <c r="K41" s="343"/>
      <c r="L41" s="341"/>
      <c r="M41" s="36"/>
    </row>
    <row r="42" spans="2:13" ht="16.5" customHeight="1">
      <c r="B42" s="51" t="s">
        <v>32</v>
      </c>
      <c r="C42" s="337"/>
      <c r="D42" s="337"/>
      <c r="E42" s="343"/>
      <c r="F42" s="342"/>
      <c r="G42" s="336"/>
      <c r="H42" s="343"/>
      <c r="I42" s="343"/>
      <c r="J42" s="343"/>
      <c r="K42" s="343"/>
      <c r="L42" s="342"/>
      <c r="M42" s="36"/>
    </row>
    <row r="43" spans="2:13" ht="15">
      <c r="B43" s="51" t="s">
        <v>33</v>
      </c>
      <c r="C43" s="56">
        <v>320</v>
      </c>
      <c r="D43" s="56">
        <v>611</v>
      </c>
      <c r="E43" s="59">
        <f>F43+K43</f>
        <v>0</v>
      </c>
      <c r="F43" s="59"/>
      <c r="G43" s="58"/>
      <c r="H43" s="59"/>
      <c r="I43" s="59"/>
      <c r="J43" s="59"/>
      <c r="K43" s="59"/>
      <c r="L43" s="59"/>
      <c r="M43" s="36"/>
    </row>
    <row r="44" spans="2:13" ht="30">
      <c r="B44" s="51" t="s">
        <v>34</v>
      </c>
      <c r="C44" s="56">
        <v>400</v>
      </c>
      <c r="D44" s="56"/>
      <c r="E44" s="59"/>
      <c r="F44" s="59"/>
      <c r="G44" s="58"/>
      <c r="H44" s="59"/>
      <c r="I44" s="59"/>
      <c r="J44" s="59"/>
      <c r="K44" s="59"/>
      <c r="L44" s="59"/>
      <c r="M44" s="36"/>
    </row>
    <row r="45" spans="2:13" ht="15.75" customHeight="1">
      <c r="B45" s="35" t="s">
        <v>26</v>
      </c>
      <c r="C45" s="337">
        <v>410</v>
      </c>
      <c r="D45" s="337"/>
      <c r="E45" s="343"/>
      <c r="F45" s="341"/>
      <c r="G45" s="336"/>
      <c r="H45" s="343"/>
      <c r="I45" s="343"/>
      <c r="J45" s="343"/>
      <c r="K45" s="343"/>
      <c r="L45" s="341"/>
      <c r="M45" s="36"/>
    </row>
    <row r="46" spans="2:13" ht="30">
      <c r="B46" s="51" t="s">
        <v>35</v>
      </c>
      <c r="C46" s="337"/>
      <c r="D46" s="337"/>
      <c r="E46" s="343"/>
      <c r="F46" s="342"/>
      <c r="G46" s="336"/>
      <c r="H46" s="343"/>
      <c r="I46" s="343"/>
      <c r="J46" s="343"/>
      <c r="K46" s="343"/>
      <c r="L46" s="342"/>
      <c r="M46" s="36"/>
    </row>
    <row r="47" spans="2:13" ht="15">
      <c r="B47" s="51" t="s">
        <v>36</v>
      </c>
      <c r="C47" s="56">
        <v>420</v>
      </c>
      <c r="D47" s="56"/>
      <c r="E47" s="59"/>
      <c r="F47" s="59"/>
      <c r="G47" s="58"/>
      <c r="H47" s="59"/>
      <c r="I47" s="59"/>
      <c r="J47" s="59"/>
      <c r="K47" s="59"/>
      <c r="L47" s="59"/>
      <c r="M47" s="36"/>
    </row>
    <row r="48" spans="2:13" ht="30">
      <c r="B48" s="51" t="s">
        <v>37</v>
      </c>
      <c r="C48" s="56">
        <v>500</v>
      </c>
      <c r="D48" s="56" t="s">
        <v>16</v>
      </c>
      <c r="E48" s="59">
        <f>F48+K48+H48</f>
        <v>181632.12</v>
      </c>
      <c r="F48" s="59">
        <v>14735.19</v>
      </c>
      <c r="G48" s="58"/>
      <c r="H48" s="59"/>
      <c r="I48" s="59"/>
      <c r="J48" s="59"/>
      <c r="K48" s="59">
        <v>166896.93</v>
      </c>
      <c r="L48" s="59"/>
      <c r="M48" s="36"/>
    </row>
    <row r="49" spans="2:13" ht="30">
      <c r="B49" s="51" t="s">
        <v>38</v>
      </c>
      <c r="C49" s="56">
        <v>600</v>
      </c>
      <c r="D49" s="56" t="s">
        <v>16</v>
      </c>
      <c r="E49" s="59">
        <f>F49+K49+H49</f>
        <v>181632.12</v>
      </c>
      <c r="F49" s="59">
        <v>14735.19</v>
      </c>
      <c r="G49" s="58"/>
      <c r="H49" s="59"/>
      <c r="I49" s="59"/>
      <c r="J49" s="59"/>
      <c r="K49" s="59">
        <v>166896.93</v>
      </c>
      <c r="L49" s="59"/>
      <c r="M49" s="36"/>
    </row>
    <row r="50" spans="5:13" ht="15">
      <c r="E50" s="61"/>
      <c r="F50" s="61"/>
      <c r="G50" s="36"/>
      <c r="H50" s="36"/>
      <c r="I50" s="36"/>
      <c r="J50" s="36"/>
      <c r="K50" s="61"/>
      <c r="L50" s="36"/>
      <c r="M50" s="36"/>
    </row>
    <row r="51" spans="5:13" ht="15">
      <c r="E51" s="61"/>
      <c r="F51" s="61"/>
      <c r="G51" s="36"/>
      <c r="H51" s="36"/>
      <c r="I51" s="36"/>
      <c r="J51" s="36"/>
      <c r="K51" s="61"/>
      <c r="L51" s="36"/>
      <c r="M51" s="36"/>
    </row>
    <row r="52" spans="5:13" ht="15">
      <c r="E52" s="61"/>
      <c r="F52" s="61"/>
      <c r="G52" s="36"/>
      <c r="H52" s="36"/>
      <c r="I52" s="36"/>
      <c r="J52" s="36"/>
      <c r="K52" s="61"/>
      <c r="L52" s="36"/>
      <c r="M52" s="36"/>
    </row>
    <row r="53" spans="5:13" ht="15">
      <c r="E53" s="61"/>
      <c r="F53" s="61"/>
      <c r="G53" s="36"/>
      <c r="H53" s="36"/>
      <c r="I53" s="36"/>
      <c r="J53" s="36"/>
      <c r="K53" s="61"/>
      <c r="L53" s="36"/>
      <c r="M53" s="36"/>
    </row>
    <row r="54" spans="5:13" ht="15">
      <c r="E54" s="61"/>
      <c r="F54" s="61"/>
      <c r="G54" s="36"/>
      <c r="H54" s="36"/>
      <c r="I54" s="36"/>
      <c r="J54" s="36"/>
      <c r="K54" s="61"/>
      <c r="L54" s="36"/>
      <c r="M54" s="36"/>
    </row>
    <row r="55" spans="5:13" ht="15">
      <c r="E55" s="61"/>
      <c r="F55" s="61"/>
      <c r="G55" s="36"/>
      <c r="H55" s="36"/>
      <c r="I55" s="36"/>
      <c r="J55" s="36"/>
      <c r="K55" s="61"/>
      <c r="L55" s="36"/>
      <c r="M55" s="36"/>
    </row>
    <row r="56" spans="5:13" ht="15">
      <c r="E56" s="61"/>
      <c r="F56" s="61"/>
      <c r="G56" s="36"/>
      <c r="H56" s="36"/>
      <c r="I56" s="36"/>
      <c r="J56" s="36"/>
      <c r="K56" s="61"/>
      <c r="L56" s="36"/>
      <c r="M56" s="36"/>
    </row>
    <row r="57" spans="5:13" ht="15">
      <c r="E57" s="61"/>
      <c r="F57" s="61"/>
      <c r="G57" s="36"/>
      <c r="H57" s="36"/>
      <c r="I57" s="36"/>
      <c r="J57" s="36"/>
      <c r="K57" s="61"/>
      <c r="L57" s="36"/>
      <c r="M57" s="36"/>
    </row>
    <row r="58" spans="5:13" ht="15">
      <c r="E58" s="61"/>
      <c r="F58" s="61"/>
      <c r="G58" s="36"/>
      <c r="H58" s="36"/>
      <c r="I58" s="36"/>
      <c r="J58" s="36"/>
      <c r="K58" s="61"/>
      <c r="L58" s="36"/>
      <c r="M58" s="36"/>
    </row>
  </sheetData>
  <mergeCells count="57">
    <mergeCell ref="A1:L1"/>
    <mergeCell ref="A2:L2"/>
    <mergeCell ref="A3:L3"/>
    <mergeCell ref="A4:L4"/>
    <mergeCell ref="F8:L8"/>
    <mergeCell ref="J9:J10"/>
    <mergeCell ref="K9:L9"/>
    <mergeCell ref="A5:L5"/>
    <mergeCell ref="E7:L7"/>
    <mergeCell ref="B7:B10"/>
    <mergeCell ref="C7:C10"/>
    <mergeCell ref="D7:D10"/>
    <mergeCell ref="E8:E10"/>
    <mergeCell ref="F9:F10"/>
    <mergeCell ref="G13:G14"/>
    <mergeCell ref="C13:C14"/>
    <mergeCell ref="D13:D14"/>
    <mergeCell ref="E13:E14"/>
    <mergeCell ref="F13:F14"/>
    <mergeCell ref="L13:L14"/>
    <mergeCell ref="H13:H14"/>
    <mergeCell ref="I13:I14"/>
    <mergeCell ref="J13:J14"/>
    <mergeCell ref="K13:K14"/>
    <mergeCell ref="G26:G27"/>
    <mergeCell ref="C26:C27"/>
    <mergeCell ref="D26:D27"/>
    <mergeCell ref="E26:E27"/>
    <mergeCell ref="F26:F27"/>
    <mergeCell ref="L26:L27"/>
    <mergeCell ref="H26:H27"/>
    <mergeCell ref="I26:I27"/>
    <mergeCell ref="J26:J27"/>
    <mergeCell ref="K26:K27"/>
    <mergeCell ref="G41:G42"/>
    <mergeCell ref="C41:C42"/>
    <mergeCell ref="D41:D42"/>
    <mergeCell ref="E41:E42"/>
    <mergeCell ref="F41:F42"/>
    <mergeCell ref="H41:H42"/>
    <mergeCell ref="I41:I42"/>
    <mergeCell ref="J41:J42"/>
    <mergeCell ref="K41:K42"/>
    <mergeCell ref="C45:C46"/>
    <mergeCell ref="D45:D46"/>
    <mergeCell ref="E45:E46"/>
    <mergeCell ref="F45:F46"/>
    <mergeCell ref="G9:G10"/>
    <mergeCell ref="H9:H10"/>
    <mergeCell ref="I9:I10"/>
    <mergeCell ref="L45:L46"/>
    <mergeCell ref="H45:H46"/>
    <mergeCell ref="I45:I46"/>
    <mergeCell ref="J45:J46"/>
    <mergeCell ref="K45:K46"/>
    <mergeCell ref="G45:G46"/>
    <mergeCell ref="L41:L42"/>
  </mergeCells>
  <hyperlinks>
    <hyperlink ref="H9" r:id="rId1" display="consultantplus://offline/ref=1BF242F4A6F15E814FFDA8BA8883EDE30F4271FE77F4760EED3F2D51CFF7ACAEBC7E84A718462B3AK"/>
  </hyperlinks>
  <printOptions/>
  <pageMargins left="0.3937007874015748" right="0.3937007874015748" top="0.1968503937007874" bottom="0.1968503937007874" header="0.5118110236220472" footer="0.5118110236220472"/>
  <pageSetup fitToHeight="2" fitToWidth="1" horizontalDpi="600" verticalDpi="600" orientation="landscape" paperSize="9" scale="84" r:id="rId2"/>
  <rowBreaks count="1" manualBreakCount="1">
    <brk id="19" max="11" man="1"/>
  </rowBreaks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58"/>
  <sheetViews>
    <sheetView view="pageBreakPreview" zoomScale="60" zoomScaleNormal="85" workbookViewId="0" topLeftCell="B1">
      <selection activeCell="A1" sqref="A1:IV1"/>
    </sheetView>
  </sheetViews>
  <sheetFormatPr defaultColWidth="9.00390625" defaultRowHeight="12.75"/>
  <cols>
    <col min="1" max="1" width="9.125" style="32" hidden="1" customWidth="1"/>
    <col min="2" max="2" width="28.00390625" style="32" customWidth="1"/>
    <col min="3" max="3" width="9.125" style="32" customWidth="1"/>
    <col min="4" max="4" width="13.625" style="157" customWidth="1"/>
    <col min="5" max="6" width="14.75390625" style="54" customWidth="1"/>
    <col min="7" max="7" width="14.75390625" style="32" customWidth="1"/>
    <col min="8" max="8" width="13.75390625" style="32" customWidth="1"/>
    <col min="9" max="9" width="12.00390625" style="32" customWidth="1"/>
    <col min="10" max="10" width="11.875" style="32" customWidth="1"/>
    <col min="11" max="11" width="14.375" style="54" customWidth="1"/>
    <col min="12" max="12" width="13.875" style="32" customWidth="1"/>
    <col min="13" max="13" width="17.625" style="32" customWidth="1"/>
    <col min="14" max="16384" width="9.125" style="32" customWidth="1"/>
  </cols>
  <sheetData>
    <row r="1" spans="1:12" s="186" customFormat="1" ht="21.75" customHeight="1">
      <c r="A1" s="346" t="s">
        <v>419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2" ht="12.75" customHeight="1">
      <c r="A2" s="261" t="s">
        <v>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ht="12.75" customHeight="1">
      <c r="A3" s="261" t="s">
        <v>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</row>
    <row r="4" spans="1:12" ht="18" customHeight="1">
      <c r="A4" s="261" t="s">
        <v>350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1:12" ht="15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ht="15">
      <c r="B6" s="38"/>
    </row>
    <row r="7" spans="2:12" s="45" customFormat="1" ht="30" customHeight="1">
      <c r="B7" s="263" t="s">
        <v>3</v>
      </c>
      <c r="C7" s="263" t="s">
        <v>4</v>
      </c>
      <c r="D7" s="263" t="s">
        <v>5</v>
      </c>
      <c r="E7" s="262" t="s">
        <v>6</v>
      </c>
      <c r="F7" s="262"/>
      <c r="G7" s="262"/>
      <c r="H7" s="262"/>
      <c r="I7" s="262"/>
      <c r="J7" s="262"/>
      <c r="K7" s="262"/>
      <c r="L7" s="262"/>
    </row>
    <row r="8" spans="2:12" s="45" customFormat="1" ht="15">
      <c r="B8" s="330"/>
      <c r="C8" s="330"/>
      <c r="D8" s="330"/>
      <c r="E8" s="331" t="s">
        <v>7</v>
      </c>
      <c r="F8" s="262" t="s">
        <v>8</v>
      </c>
      <c r="G8" s="262"/>
      <c r="H8" s="262"/>
      <c r="I8" s="262"/>
      <c r="J8" s="262"/>
      <c r="K8" s="262"/>
      <c r="L8" s="262"/>
    </row>
    <row r="9" spans="2:12" s="45" customFormat="1" ht="169.5" customHeight="1">
      <c r="B9" s="330"/>
      <c r="C9" s="330"/>
      <c r="D9" s="330"/>
      <c r="E9" s="332"/>
      <c r="F9" s="334" t="s">
        <v>122</v>
      </c>
      <c r="G9" s="263" t="s">
        <v>9</v>
      </c>
      <c r="H9" s="344" t="s">
        <v>10</v>
      </c>
      <c r="I9" s="263" t="s">
        <v>11</v>
      </c>
      <c r="J9" s="263" t="s">
        <v>12</v>
      </c>
      <c r="K9" s="262" t="s">
        <v>13</v>
      </c>
      <c r="L9" s="262"/>
    </row>
    <row r="10" spans="2:12" s="45" customFormat="1" ht="21.75" customHeight="1">
      <c r="B10" s="264"/>
      <c r="C10" s="264"/>
      <c r="D10" s="264"/>
      <c r="E10" s="333"/>
      <c r="F10" s="335"/>
      <c r="G10" s="264"/>
      <c r="H10" s="345"/>
      <c r="I10" s="264"/>
      <c r="J10" s="264"/>
      <c r="K10" s="42" t="s">
        <v>7</v>
      </c>
      <c r="L10" s="42" t="s">
        <v>14</v>
      </c>
    </row>
    <row r="11" spans="2:12" s="55" customFormat="1" ht="15">
      <c r="B11" s="78">
        <v>1</v>
      </c>
      <c r="C11" s="78">
        <v>2</v>
      </c>
      <c r="D11" s="78">
        <v>3</v>
      </c>
      <c r="E11" s="78">
        <v>4</v>
      </c>
      <c r="F11" s="78">
        <v>5</v>
      </c>
      <c r="G11" s="79" t="s">
        <v>340</v>
      </c>
      <c r="H11" s="78">
        <v>6</v>
      </c>
      <c r="I11" s="78">
        <v>7</v>
      </c>
      <c r="J11" s="78">
        <v>8</v>
      </c>
      <c r="K11" s="78">
        <v>9</v>
      </c>
      <c r="L11" s="79" t="s">
        <v>124</v>
      </c>
    </row>
    <row r="12" spans="2:13" s="54" customFormat="1" ht="28.5">
      <c r="B12" s="62" t="s">
        <v>15</v>
      </c>
      <c r="C12" s="63">
        <v>100</v>
      </c>
      <c r="D12" s="63" t="s">
        <v>16</v>
      </c>
      <c r="E12" s="57">
        <f>F12+K12+H12</f>
        <v>28902500</v>
      </c>
      <c r="F12" s="57">
        <f>SUM(F16)</f>
        <v>25066400</v>
      </c>
      <c r="G12" s="57">
        <f>SUM(G16)</f>
        <v>0</v>
      </c>
      <c r="H12" s="57">
        <f>H20</f>
        <v>936100</v>
      </c>
      <c r="I12" s="57">
        <f>I20</f>
        <v>0</v>
      </c>
      <c r="J12" s="57">
        <f>SUM(J16)</f>
        <v>0</v>
      </c>
      <c r="K12" s="57">
        <f>K16+K18+K19+K21+K22</f>
        <v>2900000</v>
      </c>
      <c r="L12" s="57"/>
      <c r="M12" s="66">
        <f>9328122+2390400+27712600+13105800</f>
        <v>52536922</v>
      </c>
    </row>
    <row r="13" spans="2:13" ht="15">
      <c r="B13" s="35" t="s">
        <v>8</v>
      </c>
      <c r="C13" s="337">
        <v>110</v>
      </c>
      <c r="D13" s="337">
        <v>120</v>
      </c>
      <c r="E13" s="338"/>
      <c r="F13" s="339"/>
      <c r="G13" s="336"/>
      <c r="H13" s="343" t="s">
        <v>16</v>
      </c>
      <c r="I13" s="343" t="s">
        <v>16</v>
      </c>
      <c r="J13" s="343" t="s">
        <v>16</v>
      </c>
      <c r="K13" s="338"/>
      <c r="L13" s="341"/>
      <c r="M13" s="66">
        <f>E12-M12</f>
        <v>-23634422</v>
      </c>
    </row>
    <row r="14" spans="2:13" ht="15">
      <c r="B14" s="51" t="s">
        <v>17</v>
      </c>
      <c r="C14" s="337"/>
      <c r="D14" s="337"/>
      <c r="E14" s="338"/>
      <c r="F14" s="340"/>
      <c r="G14" s="336"/>
      <c r="H14" s="343"/>
      <c r="I14" s="343"/>
      <c r="J14" s="343"/>
      <c r="K14" s="338"/>
      <c r="L14" s="342"/>
      <c r="M14" s="36"/>
    </row>
    <row r="15" spans="2:13" ht="15">
      <c r="B15" s="51"/>
      <c r="C15" s="60"/>
      <c r="D15" s="56"/>
      <c r="E15" s="57"/>
      <c r="F15" s="57"/>
      <c r="G15" s="58"/>
      <c r="H15" s="59"/>
      <c r="I15" s="59"/>
      <c r="J15" s="59"/>
      <c r="K15" s="57"/>
      <c r="L15" s="59"/>
      <c r="M15" s="36"/>
    </row>
    <row r="16" spans="2:13" ht="30">
      <c r="B16" s="51" t="s">
        <v>18</v>
      </c>
      <c r="C16" s="56">
        <v>120</v>
      </c>
      <c r="D16" s="56">
        <v>130</v>
      </c>
      <c r="E16" s="59">
        <f>F16+K16</f>
        <v>27966400</v>
      </c>
      <c r="F16" s="59">
        <v>25066400</v>
      </c>
      <c r="G16" s="58"/>
      <c r="H16" s="59" t="s">
        <v>16</v>
      </c>
      <c r="I16" s="59" t="s">
        <v>16</v>
      </c>
      <c r="J16" s="59"/>
      <c r="K16" s="59">
        <v>2900000</v>
      </c>
      <c r="L16" s="59"/>
      <c r="M16" s="36"/>
    </row>
    <row r="17" spans="2:13" ht="15">
      <c r="B17" s="51"/>
      <c r="C17" s="60"/>
      <c r="D17" s="56"/>
      <c r="E17" s="59"/>
      <c r="F17" s="59"/>
      <c r="G17" s="58"/>
      <c r="H17" s="59"/>
      <c r="I17" s="59"/>
      <c r="J17" s="59"/>
      <c r="K17" s="59"/>
      <c r="L17" s="59"/>
      <c r="M17" s="36"/>
    </row>
    <row r="18" spans="2:13" ht="45">
      <c r="B18" s="51" t="s">
        <v>19</v>
      </c>
      <c r="C18" s="56">
        <v>130</v>
      </c>
      <c r="D18" s="56"/>
      <c r="E18" s="59"/>
      <c r="F18" s="59"/>
      <c r="G18" s="58"/>
      <c r="H18" s="59" t="s">
        <v>16</v>
      </c>
      <c r="I18" s="59" t="s">
        <v>16</v>
      </c>
      <c r="J18" s="59" t="s">
        <v>16</v>
      </c>
      <c r="K18" s="59"/>
      <c r="L18" s="59"/>
      <c r="M18" s="36"/>
    </row>
    <row r="19" spans="2:13" ht="76.5" customHeight="1">
      <c r="B19" s="51" t="s">
        <v>20</v>
      </c>
      <c r="C19" s="56">
        <v>140</v>
      </c>
      <c r="D19" s="56">
        <v>180</v>
      </c>
      <c r="E19" s="59"/>
      <c r="F19" s="59"/>
      <c r="G19" s="58"/>
      <c r="H19" s="59" t="s">
        <v>16</v>
      </c>
      <c r="I19" s="59" t="s">
        <v>16</v>
      </c>
      <c r="J19" s="59" t="s">
        <v>16</v>
      </c>
      <c r="K19" s="59"/>
      <c r="L19" s="59"/>
      <c r="M19" s="36"/>
    </row>
    <row r="20" spans="2:13" ht="35.25" customHeight="1">
      <c r="B20" s="51" t="s">
        <v>21</v>
      </c>
      <c r="C20" s="56">
        <v>150</v>
      </c>
      <c r="D20" s="56">
        <v>241</v>
      </c>
      <c r="E20" s="59">
        <f>F20+G20+H20+I20</f>
        <v>936100</v>
      </c>
      <c r="F20" s="59"/>
      <c r="G20" s="58"/>
      <c r="H20" s="59">
        <v>936100</v>
      </c>
      <c r="I20" s="59"/>
      <c r="J20" s="59" t="s">
        <v>16</v>
      </c>
      <c r="K20" s="59" t="s">
        <v>16</v>
      </c>
      <c r="L20" s="59"/>
      <c r="M20" s="36"/>
    </row>
    <row r="21" spans="2:13" ht="21" customHeight="1">
      <c r="B21" s="51" t="s">
        <v>22</v>
      </c>
      <c r="C21" s="56">
        <v>160</v>
      </c>
      <c r="D21" s="56"/>
      <c r="E21" s="59"/>
      <c r="F21" s="59"/>
      <c r="G21" s="58"/>
      <c r="H21" s="59" t="s">
        <v>16</v>
      </c>
      <c r="I21" s="59" t="s">
        <v>16</v>
      </c>
      <c r="J21" s="59" t="s">
        <v>16</v>
      </c>
      <c r="K21" s="59"/>
      <c r="L21" s="59"/>
      <c r="M21" s="36"/>
    </row>
    <row r="22" spans="2:13" ht="19.5" customHeight="1">
      <c r="B22" s="51" t="s">
        <v>23</v>
      </c>
      <c r="C22" s="56">
        <v>180</v>
      </c>
      <c r="D22" s="56" t="s">
        <v>16</v>
      </c>
      <c r="E22" s="59"/>
      <c r="F22" s="59"/>
      <c r="G22" s="58"/>
      <c r="H22" s="59" t="s">
        <v>16</v>
      </c>
      <c r="I22" s="59" t="s">
        <v>16</v>
      </c>
      <c r="J22" s="59" t="s">
        <v>16</v>
      </c>
      <c r="K22" s="59"/>
      <c r="L22" s="59"/>
      <c r="M22" s="36"/>
    </row>
    <row r="23" spans="2:13" ht="15">
      <c r="B23" s="51"/>
      <c r="C23" s="60"/>
      <c r="D23" s="56"/>
      <c r="E23" s="59"/>
      <c r="F23" s="59"/>
      <c r="G23" s="58"/>
      <c r="H23" s="59"/>
      <c r="I23" s="59"/>
      <c r="J23" s="59"/>
      <c r="K23" s="59"/>
      <c r="L23" s="59"/>
      <c r="M23" s="36"/>
    </row>
    <row r="24" spans="2:13" ht="28.5">
      <c r="B24" s="62" t="s">
        <v>24</v>
      </c>
      <c r="C24" s="63">
        <v>200</v>
      </c>
      <c r="D24" s="63" t="s">
        <v>16</v>
      </c>
      <c r="E24" s="57">
        <f aca="true" t="shared" si="0" ref="E24:J24">E25+E32+E38+E39+E43</f>
        <v>28902500</v>
      </c>
      <c r="F24" s="57">
        <f t="shared" si="0"/>
        <v>25066400</v>
      </c>
      <c r="G24" s="57">
        <f t="shared" si="0"/>
        <v>0</v>
      </c>
      <c r="H24" s="57">
        <f t="shared" si="0"/>
        <v>936100</v>
      </c>
      <c r="I24" s="57">
        <f t="shared" si="0"/>
        <v>0</v>
      </c>
      <c r="J24" s="57">
        <f t="shared" si="0"/>
        <v>0</v>
      </c>
      <c r="K24" s="57">
        <f>K25+K30+K38+K39+K40</f>
        <v>2900000</v>
      </c>
      <c r="L24" s="57">
        <f>L25+L32+L38+L39+L43</f>
        <v>0</v>
      </c>
      <c r="M24" s="36"/>
    </row>
    <row r="25" spans="2:13" ht="30">
      <c r="B25" s="51" t="s">
        <v>25</v>
      </c>
      <c r="C25" s="56">
        <v>210</v>
      </c>
      <c r="D25" s="56">
        <v>210</v>
      </c>
      <c r="E25" s="59">
        <f>F25+K25+H25</f>
        <v>14149300</v>
      </c>
      <c r="F25" s="59">
        <f>F26+F28+F29</f>
        <v>14149300</v>
      </c>
      <c r="G25" s="59"/>
      <c r="H25" s="59"/>
      <c r="I25" s="59"/>
      <c r="J25" s="59"/>
      <c r="K25" s="59"/>
      <c r="L25" s="59"/>
      <c r="M25" s="36"/>
    </row>
    <row r="26" spans="2:13" ht="15">
      <c r="B26" s="35" t="s">
        <v>26</v>
      </c>
      <c r="C26" s="337">
        <v>211</v>
      </c>
      <c r="D26" s="337">
        <v>111</v>
      </c>
      <c r="E26" s="343">
        <f>F26+K26+H26</f>
        <v>10817100</v>
      </c>
      <c r="F26" s="341">
        <f>6822600+2072300+1922200</f>
        <v>10817100</v>
      </c>
      <c r="G26" s="336"/>
      <c r="H26" s="343"/>
      <c r="I26" s="343"/>
      <c r="J26" s="343"/>
      <c r="K26" s="343"/>
      <c r="L26" s="341"/>
      <c r="M26" s="36"/>
    </row>
    <row r="27" spans="2:13" ht="19.5" customHeight="1">
      <c r="B27" s="51" t="s">
        <v>388</v>
      </c>
      <c r="C27" s="337"/>
      <c r="D27" s="337"/>
      <c r="E27" s="343"/>
      <c r="F27" s="342"/>
      <c r="G27" s="336"/>
      <c r="H27" s="343"/>
      <c r="I27" s="343"/>
      <c r="J27" s="343"/>
      <c r="K27" s="343"/>
      <c r="L27" s="342"/>
      <c r="M27" s="36"/>
    </row>
    <row r="28" spans="2:13" ht="21" customHeight="1">
      <c r="B28" s="51" t="s">
        <v>390</v>
      </c>
      <c r="C28" s="56">
        <v>212</v>
      </c>
      <c r="D28" s="56">
        <v>112</v>
      </c>
      <c r="E28" s="59">
        <f>F28+K28+H28</f>
        <v>65500</v>
      </c>
      <c r="F28" s="156">
        <v>65500</v>
      </c>
      <c r="G28" s="58"/>
      <c r="H28" s="59"/>
      <c r="I28" s="59"/>
      <c r="J28" s="59"/>
      <c r="K28" s="59"/>
      <c r="L28" s="156"/>
      <c r="M28" s="36"/>
    </row>
    <row r="29" spans="2:13" ht="31.5" customHeight="1">
      <c r="B29" s="51" t="s">
        <v>389</v>
      </c>
      <c r="C29" s="56">
        <v>213</v>
      </c>
      <c r="D29" s="56">
        <v>119</v>
      </c>
      <c r="E29" s="59">
        <f>F29+K29+H29</f>
        <v>3266700</v>
      </c>
      <c r="F29" s="156">
        <f>2060400+625800+580500</f>
        <v>3266700</v>
      </c>
      <c r="G29" s="58"/>
      <c r="H29" s="59"/>
      <c r="I29" s="59"/>
      <c r="J29" s="59"/>
      <c r="K29" s="59"/>
      <c r="L29" s="156"/>
      <c r="M29" s="36"/>
    </row>
    <row r="30" spans="2:13" ht="30">
      <c r="B30" s="51" t="s">
        <v>27</v>
      </c>
      <c r="C30" s="56">
        <v>220</v>
      </c>
      <c r="D30" s="56"/>
      <c r="E30" s="59"/>
      <c r="F30" s="59"/>
      <c r="G30" s="58"/>
      <c r="H30" s="59"/>
      <c r="I30" s="59"/>
      <c r="J30" s="59"/>
      <c r="K30" s="59"/>
      <c r="L30" s="59"/>
      <c r="M30" s="36"/>
    </row>
    <row r="31" spans="2:13" ht="15">
      <c r="B31" s="35" t="s">
        <v>26</v>
      </c>
      <c r="C31" s="60"/>
      <c r="D31" s="56"/>
      <c r="E31" s="59"/>
      <c r="F31" s="59"/>
      <c r="G31" s="58"/>
      <c r="H31" s="59"/>
      <c r="I31" s="59"/>
      <c r="J31" s="59"/>
      <c r="K31" s="59"/>
      <c r="L31" s="59"/>
      <c r="M31" s="36"/>
    </row>
    <row r="32" spans="2:13" ht="30">
      <c r="B32" s="51" t="s">
        <v>28</v>
      </c>
      <c r="C32" s="56">
        <v>230</v>
      </c>
      <c r="D32" s="56">
        <v>850</v>
      </c>
      <c r="E32" s="59">
        <f>F32+K32+H32</f>
        <v>842100</v>
      </c>
      <c r="F32" s="59">
        <f>F34+F35+F36</f>
        <v>842100</v>
      </c>
      <c r="G32" s="58"/>
      <c r="H32" s="59"/>
      <c r="I32" s="59"/>
      <c r="J32" s="59"/>
      <c r="K32" s="59"/>
      <c r="L32" s="59"/>
      <c r="M32" s="36"/>
    </row>
    <row r="33" spans="2:13" ht="15">
      <c r="B33" s="35" t="s">
        <v>26</v>
      </c>
      <c r="C33" s="60"/>
      <c r="D33" s="56"/>
      <c r="E33" s="59"/>
      <c r="F33" s="59"/>
      <c r="G33" s="58"/>
      <c r="H33" s="59"/>
      <c r="I33" s="59"/>
      <c r="J33" s="59"/>
      <c r="K33" s="59"/>
      <c r="L33" s="59"/>
      <c r="M33" s="36"/>
    </row>
    <row r="34" spans="2:13" ht="30">
      <c r="B34" s="160" t="s">
        <v>391</v>
      </c>
      <c r="C34" s="56">
        <v>231</v>
      </c>
      <c r="D34" s="56">
        <v>851</v>
      </c>
      <c r="E34" s="59">
        <f>F34+K34+H34</f>
        <v>811200</v>
      </c>
      <c r="F34" s="59">
        <v>811200</v>
      </c>
      <c r="G34" s="58"/>
      <c r="H34" s="59"/>
      <c r="I34" s="59"/>
      <c r="J34" s="59"/>
      <c r="K34" s="59"/>
      <c r="L34" s="59"/>
      <c r="M34" s="36"/>
    </row>
    <row r="35" spans="2:13" ht="15">
      <c r="B35" s="160" t="s">
        <v>392</v>
      </c>
      <c r="C35" s="56">
        <v>232</v>
      </c>
      <c r="D35" s="56">
        <v>852</v>
      </c>
      <c r="E35" s="59">
        <f>F35+K35+H35</f>
        <v>0</v>
      </c>
      <c r="F35" s="59"/>
      <c r="G35" s="58"/>
      <c r="H35" s="59"/>
      <c r="I35" s="59"/>
      <c r="J35" s="59"/>
      <c r="K35" s="59"/>
      <c r="L35" s="59"/>
      <c r="M35" s="36"/>
    </row>
    <row r="36" spans="2:13" ht="45">
      <c r="B36" s="160" t="s">
        <v>393</v>
      </c>
      <c r="C36" s="56">
        <v>233</v>
      </c>
      <c r="D36" s="56">
        <v>853</v>
      </c>
      <c r="E36" s="59">
        <f>F36+K36+H36</f>
        <v>30900</v>
      </c>
      <c r="F36" s="59">
        <v>30900</v>
      </c>
      <c r="G36" s="58"/>
      <c r="H36" s="59"/>
      <c r="I36" s="59"/>
      <c r="J36" s="59"/>
      <c r="K36" s="59"/>
      <c r="L36" s="59"/>
      <c r="M36" s="36"/>
    </row>
    <row r="37" spans="2:13" ht="33.75" customHeight="1">
      <c r="B37" s="51" t="s">
        <v>113</v>
      </c>
      <c r="C37" s="56">
        <v>240</v>
      </c>
      <c r="D37" s="56"/>
      <c r="E37" s="59"/>
      <c r="F37" s="59"/>
      <c r="G37" s="58"/>
      <c r="H37" s="59"/>
      <c r="I37" s="59"/>
      <c r="J37" s="59"/>
      <c r="K37" s="59"/>
      <c r="L37" s="59"/>
      <c r="M37" s="36"/>
    </row>
    <row r="38" spans="2:13" ht="45">
      <c r="B38" s="51" t="s">
        <v>29</v>
      </c>
      <c r="C38" s="56">
        <v>250</v>
      </c>
      <c r="D38" s="56"/>
      <c r="E38" s="59"/>
      <c r="F38" s="59"/>
      <c r="G38" s="58"/>
      <c r="H38" s="59"/>
      <c r="I38" s="59"/>
      <c r="J38" s="59"/>
      <c r="K38" s="59"/>
      <c r="L38" s="59"/>
      <c r="M38" s="36"/>
    </row>
    <row r="39" spans="2:13" ht="39" customHeight="1">
      <c r="B39" s="51" t="s">
        <v>30</v>
      </c>
      <c r="C39" s="56">
        <v>260</v>
      </c>
      <c r="D39" s="56">
        <v>244</v>
      </c>
      <c r="E39" s="59">
        <f>F39+K39+H39</f>
        <v>13911100</v>
      </c>
      <c r="F39" s="59">
        <f>25066400-14991400</f>
        <v>10075000</v>
      </c>
      <c r="G39" s="59"/>
      <c r="H39" s="59">
        <v>936100</v>
      </c>
      <c r="I39" s="59"/>
      <c r="J39" s="59"/>
      <c r="K39" s="59">
        <v>2900000</v>
      </c>
      <c r="L39" s="59"/>
      <c r="M39" s="36"/>
    </row>
    <row r="40" spans="2:13" ht="30">
      <c r="B40" s="51" t="s">
        <v>31</v>
      </c>
      <c r="C40" s="56">
        <v>300</v>
      </c>
      <c r="D40" s="56" t="s">
        <v>16</v>
      </c>
      <c r="E40" s="59"/>
      <c r="F40" s="59"/>
      <c r="G40" s="58"/>
      <c r="H40" s="59"/>
      <c r="I40" s="59"/>
      <c r="J40" s="59"/>
      <c r="K40" s="59"/>
      <c r="L40" s="59"/>
      <c r="M40" s="36"/>
    </row>
    <row r="41" spans="2:13" ht="15">
      <c r="B41" s="35" t="s">
        <v>26</v>
      </c>
      <c r="C41" s="337">
        <v>310</v>
      </c>
      <c r="D41" s="337"/>
      <c r="E41" s="343"/>
      <c r="F41" s="341"/>
      <c r="G41" s="336"/>
      <c r="H41" s="343"/>
      <c r="I41" s="343"/>
      <c r="J41" s="343"/>
      <c r="K41" s="343"/>
      <c r="L41" s="341"/>
      <c r="M41" s="36"/>
    </row>
    <row r="42" spans="2:13" ht="16.5" customHeight="1">
      <c r="B42" s="51" t="s">
        <v>32</v>
      </c>
      <c r="C42" s="337"/>
      <c r="D42" s="337"/>
      <c r="E42" s="343"/>
      <c r="F42" s="342"/>
      <c r="G42" s="336"/>
      <c r="H42" s="343"/>
      <c r="I42" s="343"/>
      <c r="J42" s="343"/>
      <c r="K42" s="343"/>
      <c r="L42" s="342"/>
      <c r="M42" s="36"/>
    </row>
    <row r="43" spans="2:13" ht="15">
      <c r="B43" s="51" t="s">
        <v>33</v>
      </c>
      <c r="C43" s="56">
        <v>320</v>
      </c>
      <c r="D43" s="56">
        <v>611</v>
      </c>
      <c r="E43" s="59">
        <f>F43+K43</f>
        <v>0</v>
      </c>
      <c r="F43" s="59"/>
      <c r="G43" s="58"/>
      <c r="H43" s="59"/>
      <c r="I43" s="59"/>
      <c r="J43" s="59"/>
      <c r="K43" s="59"/>
      <c r="L43" s="59"/>
      <c r="M43" s="36"/>
    </row>
    <row r="44" spans="2:13" ht="30">
      <c r="B44" s="51" t="s">
        <v>34</v>
      </c>
      <c r="C44" s="56">
        <v>400</v>
      </c>
      <c r="D44" s="56"/>
      <c r="E44" s="59"/>
      <c r="F44" s="59"/>
      <c r="G44" s="58"/>
      <c r="H44" s="59"/>
      <c r="I44" s="59"/>
      <c r="J44" s="59"/>
      <c r="K44" s="59"/>
      <c r="L44" s="59"/>
      <c r="M44" s="36"/>
    </row>
    <row r="45" spans="2:13" ht="15.75" customHeight="1">
      <c r="B45" s="35" t="s">
        <v>26</v>
      </c>
      <c r="C45" s="337">
        <v>410</v>
      </c>
      <c r="D45" s="337"/>
      <c r="E45" s="343"/>
      <c r="F45" s="341"/>
      <c r="G45" s="336"/>
      <c r="H45" s="343"/>
      <c r="I45" s="343"/>
      <c r="J45" s="343"/>
      <c r="K45" s="343"/>
      <c r="L45" s="341"/>
      <c r="M45" s="36"/>
    </row>
    <row r="46" spans="2:13" ht="30">
      <c r="B46" s="51" t="s">
        <v>35</v>
      </c>
      <c r="C46" s="337"/>
      <c r="D46" s="337"/>
      <c r="E46" s="343"/>
      <c r="F46" s="342"/>
      <c r="G46" s="336"/>
      <c r="H46" s="343"/>
      <c r="I46" s="343"/>
      <c r="J46" s="343"/>
      <c r="K46" s="343"/>
      <c r="L46" s="342"/>
      <c r="M46" s="36"/>
    </row>
    <row r="47" spans="2:13" ht="15">
      <c r="B47" s="51" t="s">
        <v>36</v>
      </c>
      <c r="C47" s="56">
        <v>420</v>
      </c>
      <c r="D47" s="56"/>
      <c r="E47" s="59"/>
      <c r="F47" s="59"/>
      <c r="G47" s="58"/>
      <c r="H47" s="59"/>
      <c r="I47" s="59"/>
      <c r="J47" s="59"/>
      <c r="K47" s="59"/>
      <c r="L47" s="59"/>
      <c r="M47" s="36"/>
    </row>
    <row r="48" spans="2:13" ht="30">
      <c r="B48" s="51" t="s">
        <v>37</v>
      </c>
      <c r="C48" s="56">
        <v>500</v>
      </c>
      <c r="D48" s="56" t="s">
        <v>16</v>
      </c>
      <c r="E48" s="59">
        <f>F48+K48+H48</f>
        <v>181632.12</v>
      </c>
      <c r="F48" s="59">
        <v>14735.19</v>
      </c>
      <c r="G48" s="58"/>
      <c r="H48" s="59"/>
      <c r="I48" s="59"/>
      <c r="J48" s="59"/>
      <c r="K48" s="59">
        <v>166896.93</v>
      </c>
      <c r="L48" s="59"/>
      <c r="M48" s="36"/>
    </row>
    <row r="49" spans="2:13" ht="30">
      <c r="B49" s="51" t="s">
        <v>38</v>
      </c>
      <c r="C49" s="56">
        <v>600</v>
      </c>
      <c r="D49" s="56" t="s">
        <v>16</v>
      </c>
      <c r="E49" s="59">
        <f>F49+K49+H49</f>
        <v>181632.12</v>
      </c>
      <c r="F49" s="59">
        <v>14735.19</v>
      </c>
      <c r="G49" s="58"/>
      <c r="H49" s="59"/>
      <c r="I49" s="59"/>
      <c r="J49" s="59"/>
      <c r="K49" s="59">
        <v>166896.93</v>
      </c>
      <c r="L49" s="59"/>
      <c r="M49" s="36"/>
    </row>
    <row r="50" spans="5:13" ht="15">
      <c r="E50" s="61"/>
      <c r="F50" s="61"/>
      <c r="G50" s="36"/>
      <c r="H50" s="36"/>
      <c r="I50" s="36"/>
      <c r="J50" s="36"/>
      <c r="K50" s="61"/>
      <c r="L50" s="36"/>
      <c r="M50" s="36"/>
    </row>
    <row r="51" spans="5:13" ht="15">
      <c r="E51" s="61"/>
      <c r="F51" s="61"/>
      <c r="G51" s="36"/>
      <c r="H51" s="36"/>
      <c r="I51" s="36"/>
      <c r="J51" s="36"/>
      <c r="K51" s="61"/>
      <c r="L51" s="36"/>
      <c r="M51" s="36"/>
    </row>
    <row r="52" spans="5:13" ht="15">
      <c r="E52" s="61"/>
      <c r="F52" s="61"/>
      <c r="G52" s="36"/>
      <c r="H52" s="36"/>
      <c r="I52" s="36"/>
      <c r="J52" s="36"/>
      <c r="K52" s="61"/>
      <c r="L52" s="36"/>
      <c r="M52" s="36"/>
    </row>
    <row r="53" spans="5:13" ht="15">
      <c r="E53" s="61"/>
      <c r="F53" s="61"/>
      <c r="G53" s="36"/>
      <c r="H53" s="36"/>
      <c r="I53" s="36"/>
      <c r="J53" s="36"/>
      <c r="K53" s="61"/>
      <c r="L53" s="36"/>
      <c r="M53" s="36"/>
    </row>
    <row r="54" spans="5:13" ht="15">
      <c r="E54" s="61"/>
      <c r="F54" s="61"/>
      <c r="G54" s="36"/>
      <c r="H54" s="36"/>
      <c r="I54" s="36"/>
      <c r="J54" s="36"/>
      <c r="K54" s="61"/>
      <c r="L54" s="36"/>
      <c r="M54" s="36"/>
    </row>
    <row r="55" spans="5:13" ht="15">
      <c r="E55" s="61"/>
      <c r="F55" s="61"/>
      <c r="G55" s="36"/>
      <c r="H55" s="36"/>
      <c r="I55" s="36"/>
      <c r="J55" s="36"/>
      <c r="K55" s="61"/>
      <c r="L55" s="36"/>
      <c r="M55" s="36"/>
    </row>
    <row r="56" spans="5:13" ht="15">
      <c r="E56" s="61"/>
      <c r="F56" s="61"/>
      <c r="G56" s="36"/>
      <c r="H56" s="36"/>
      <c r="I56" s="36"/>
      <c r="J56" s="36"/>
      <c r="K56" s="61"/>
      <c r="L56" s="36"/>
      <c r="M56" s="36"/>
    </row>
    <row r="57" spans="5:13" ht="15">
      <c r="E57" s="61"/>
      <c r="F57" s="61"/>
      <c r="G57" s="36"/>
      <c r="H57" s="36"/>
      <c r="I57" s="36"/>
      <c r="J57" s="36"/>
      <c r="K57" s="61"/>
      <c r="L57" s="36"/>
      <c r="M57" s="36"/>
    </row>
    <row r="58" spans="5:13" ht="15">
      <c r="E58" s="61"/>
      <c r="F58" s="61"/>
      <c r="G58" s="36"/>
      <c r="H58" s="36"/>
      <c r="I58" s="36"/>
      <c r="J58" s="36"/>
      <c r="K58" s="61"/>
      <c r="L58" s="36"/>
      <c r="M58" s="36"/>
    </row>
  </sheetData>
  <mergeCells count="57">
    <mergeCell ref="K45:K46"/>
    <mergeCell ref="L45:L46"/>
    <mergeCell ref="K41:K42"/>
    <mergeCell ref="L41:L42"/>
    <mergeCell ref="C45:C46"/>
    <mergeCell ref="D45:D46"/>
    <mergeCell ref="E45:E46"/>
    <mergeCell ref="F45:F46"/>
    <mergeCell ref="I41:I42"/>
    <mergeCell ref="J41:J42"/>
    <mergeCell ref="G45:G46"/>
    <mergeCell ref="H45:H46"/>
    <mergeCell ref="I45:I46"/>
    <mergeCell ref="J45:J46"/>
    <mergeCell ref="C26:C27"/>
    <mergeCell ref="D26:D27"/>
    <mergeCell ref="G41:G42"/>
    <mergeCell ref="H41:H42"/>
    <mergeCell ref="C41:C42"/>
    <mergeCell ref="D41:D42"/>
    <mergeCell ref="E41:E42"/>
    <mergeCell ref="F41:F42"/>
    <mergeCell ref="E26:E27"/>
    <mergeCell ref="F26:F27"/>
    <mergeCell ref="G9:G10"/>
    <mergeCell ref="H9:H10"/>
    <mergeCell ref="I9:I10"/>
    <mergeCell ref="G26:G27"/>
    <mergeCell ref="G13:G14"/>
    <mergeCell ref="K13:K14"/>
    <mergeCell ref="I26:I27"/>
    <mergeCell ref="J26:J27"/>
    <mergeCell ref="K26:K27"/>
    <mergeCell ref="L26:L27"/>
    <mergeCell ref="H26:H27"/>
    <mergeCell ref="C13:C14"/>
    <mergeCell ref="D13:D14"/>
    <mergeCell ref="E13:E14"/>
    <mergeCell ref="F13:F14"/>
    <mergeCell ref="L13:L14"/>
    <mergeCell ref="H13:H14"/>
    <mergeCell ref="I13:I14"/>
    <mergeCell ref="J13:J14"/>
    <mergeCell ref="F8:L8"/>
    <mergeCell ref="J9:J10"/>
    <mergeCell ref="K9:L9"/>
    <mergeCell ref="A5:L5"/>
    <mergeCell ref="E7:L7"/>
    <mergeCell ref="B7:B10"/>
    <mergeCell ref="C7:C10"/>
    <mergeCell ref="D7:D10"/>
    <mergeCell ref="E8:E10"/>
    <mergeCell ref="F9:F10"/>
    <mergeCell ref="A1:L1"/>
    <mergeCell ref="A2:L2"/>
    <mergeCell ref="A3:L3"/>
    <mergeCell ref="A4:L4"/>
  </mergeCells>
  <hyperlinks>
    <hyperlink ref="H9" r:id="rId1" display="consultantplus://offline/ref=1BF242F4A6F15E814FFDA8BA8883EDE30F4271FE77F4760EED3F2D51CFF7ACAEBC7E84A718462B3AK"/>
  </hyperlinks>
  <printOptions/>
  <pageMargins left="0.3937007874015748" right="0.3937007874015748" top="0.1968503937007874" bottom="0.1968503937007874" header="0.5118110236220472" footer="0.5118110236220472"/>
  <pageSetup fitToHeight="2" fitToWidth="1" horizontalDpi="600" verticalDpi="600" orientation="landscape" paperSize="9" scale="84" r:id="rId2"/>
  <rowBreaks count="1" manualBreakCount="1">
    <brk id="19" max="11" man="1"/>
  </rowBreaks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P20"/>
  <sheetViews>
    <sheetView view="pageBreakPreview" zoomScale="80" zoomScaleSheetLayoutView="80" zoomScalePageLayoutView="0" workbookViewId="0" topLeftCell="A14">
      <selection activeCell="O10" sqref="O10"/>
    </sheetView>
  </sheetViews>
  <sheetFormatPr defaultColWidth="9.00390625" defaultRowHeight="12.75"/>
  <cols>
    <col min="1" max="1" width="35.625" style="180" customWidth="1"/>
    <col min="2" max="3" width="9.125" style="168" customWidth="1"/>
    <col min="4" max="4" width="14.625" style="168" customWidth="1"/>
    <col min="5" max="9" width="13.625" style="168" customWidth="1"/>
    <col min="10" max="10" width="16.125" style="168" customWidth="1"/>
    <col min="11" max="11" width="13.625" style="168" customWidth="1"/>
    <col min="12" max="12" width="14.125" style="168" bestFit="1" customWidth="1"/>
    <col min="13" max="14" width="9.125" style="168" customWidth="1"/>
    <col min="15" max="15" width="21.375" style="168" customWidth="1"/>
    <col min="16" max="16" width="20.75390625" style="168" customWidth="1"/>
    <col min="17" max="16384" width="9.125" style="168" customWidth="1"/>
  </cols>
  <sheetData>
    <row r="2" spans="1:12" s="3" customFormat="1" ht="15">
      <c r="A2" s="187"/>
      <c r="K2" s="351" t="s">
        <v>420</v>
      </c>
      <c r="L2" s="351"/>
    </row>
    <row r="3" spans="1:12" ht="15">
      <c r="A3" s="353" t="s">
        <v>167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2" ht="15">
      <c r="A4" s="353" t="s">
        <v>168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</row>
    <row r="5" spans="1:12" ht="15">
      <c r="A5" s="353" t="s">
        <v>342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</row>
    <row r="6" spans="1:12" ht="15">
      <c r="A6" s="170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2" s="184" customFormat="1" ht="15">
      <c r="A7" s="183"/>
      <c r="L7" s="185"/>
    </row>
    <row r="8" spans="1:12" ht="15">
      <c r="A8" s="347" t="s">
        <v>3</v>
      </c>
      <c r="B8" s="347" t="s">
        <v>4</v>
      </c>
      <c r="C8" s="347" t="s">
        <v>171</v>
      </c>
      <c r="D8" s="347" t="s">
        <v>172</v>
      </c>
      <c r="E8" s="347"/>
      <c r="F8" s="347"/>
      <c r="G8" s="347"/>
      <c r="H8" s="347"/>
      <c r="I8" s="347"/>
      <c r="J8" s="347"/>
      <c r="K8" s="347"/>
      <c r="L8" s="347"/>
    </row>
    <row r="9" spans="1:12" ht="15">
      <c r="A9" s="347"/>
      <c r="B9" s="347"/>
      <c r="C9" s="347"/>
      <c r="D9" s="354" t="s">
        <v>173</v>
      </c>
      <c r="E9" s="355"/>
      <c r="F9" s="356"/>
      <c r="G9" s="347" t="s">
        <v>8</v>
      </c>
      <c r="H9" s="347"/>
      <c r="I9" s="347"/>
      <c r="J9" s="347"/>
      <c r="K9" s="347"/>
      <c r="L9" s="347"/>
    </row>
    <row r="10" spans="1:12" ht="72" customHeight="1">
      <c r="A10" s="347"/>
      <c r="B10" s="347"/>
      <c r="C10" s="347"/>
      <c r="D10" s="348"/>
      <c r="E10" s="349"/>
      <c r="F10" s="350"/>
      <c r="G10" s="348" t="s">
        <v>174</v>
      </c>
      <c r="H10" s="349"/>
      <c r="I10" s="350"/>
      <c r="J10" s="348" t="s">
        <v>175</v>
      </c>
      <c r="K10" s="349"/>
      <c r="L10" s="350"/>
    </row>
    <row r="11" spans="1:12" ht="15">
      <c r="A11" s="347"/>
      <c r="B11" s="347"/>
      <c r="C11" s="347"/>
      <c r="D11" s="171" t="s">
        <v>176</v>
      </c>
      <c r="E11" s="171" t="s">
        <v>177</v>
      </c>
      <c r="F11" s="171" t="s">
        <v>178</v>
      </c>
      <c r="G11" s="171" t="s">
        <v>176</v>
      </c>
      <c r="H11" s="171" t="s">
        <v>177</v>
      </c>
      <c r="I11" s="171" t="s">
        <v>178</v>
      </c>
      <c r="J11" s="171" t="s">
        <v>176</v>
      </c>
      <c r="K11" s="171" t="s">
        <v>177</v>
      </c>
      <c r="L11" s="171" t="s">
        <v>178</v>
      </c>
    </row>
    <row r="12" spans="1:12" ht="15">
      <c r="A12" s="171">
        <v>1</v>
      </c>
      <c r="B12" s="171">
        <v>2</v>
      </c>
      <c r="C12" s="171">
        <v>3</v>
      </c>
      <c r="D12" s="171">
        <v>4</v>
      </c>
      <c r="E12" s="171">
        <v>5</v>
      </c>
      <c r="F12" s="171">
        <v>6</v>
      </c>
      <c r="G12" s="171">
        <v>7</v>
      </c>
      <c r="H12" s="171">
        <v>8</v>
      </c>
      <c r="I12" s="171">
        <v>9</v>
      </c>
      <c r="J12" s="171">
        <v>10</v>
      </c>
      <c r="K12" s="171">
        <v>11</v>
      </c>
      <c r="L12" s="171">
        <v>12</v>
      </c>
    </row>
    <row r="13" spans="1:16" ht="56.25" customHeight="1">
      <c r="A13" s="172" t="s">
        <v>179</v>
      </c>
      <c r="B13" s="173" t="s">
        <v>341</v>
      </c>
      <c r="C13" s="174" t="s">
        <v>16</v>
      </c>
      <c r="D13" s="175">
        <f>G13+J13</f>
        <v>8582600</v>
      </c>
      <c r="E13" s="176">
        <f>E14+E15</f>
        <v>13928100</v>
      </c>
      <c r="F13" s="176">
        <f>F14+F15</f>
        <v>13911100</v>
      </c>
      <c r="G13" s="175">
        <f>G14+G15</f>
        <v>8582600</v>
      </c>
      <c r="H13" s="176">
        <f>H14+H15</f>
        <v>13928100</v>
      </c>
      <c r="I13" s="176">
        <f>I14+I15</f>
        <v>13911100</v>
      </c>
      <c r="J13" s="175">
        <v>0</v>
      </c>
      <c r="K13" s="176">
        <v>0</v>
      </c>
      <c r="L13" s="176">
        <v>0</v>
      </c>
      <c r="P13" s="168">
        <v>14591542.000000002</v>
      </c>
    </row>
    <row r="14" spans="1:16" ht="74.25" customHeight="1">
      <c r="A14" s="177" t="s">
        <v>180</v>
      </c>
      <c r="B14" s="171">
        <v>1001</v>
      </c>
      <c r="C14" s="171" t="s">
        <v>16</v>
      </c>
      <c r="D14" s="178">
        <v>0</v>
      </c>
      <c r="E14" s="179">
        <v>0</v>
      </c>
      <c r="F14" s="179">
        <v>0</v>
      </c>
      <c r="G14" s="178">
        <v>0</v>
      </c>
      <c r="H14" s="179">
        <v>0</v>
      </c>
      <c r="I14" s="179">
        <v>0</v>
      </c>
      <c r="J14" s="178">
        <v>0</v>
      </c>
      <c r="K14" s="179">
        <v>0</v>
      </c>
      <c r="L14" s="179">
        <v>0</v>
      </c>
      <c r="P14" s="168">
        <v>10834874.990000002</v>
      </c>
    </row>
    <row r="15" spans="1:12" ht="74.25" customHeight="1">
      <c r="A15" s="177" t="s">
        <v>181</v>
      </c>
      <c r="B15" s="171">
        <v>2001</v>
      </c>
      <c r="C15" s="177"/>
      <c r="D15" s="178">
        <f>G15+J15</f>
        <v>8582600</v>
      </c>
      <c r="E15" s="178">
        <f>H15+K15</f>
        <v>13928100</v>
      </c>
      <c r="F15" s="178">
        <f>I15+L15</f>
        <v>13911100</v>
      </c>
      <c r="G15" s="178">
        <f>'Т2 2017'!E39</f>
        <v>8582600</v>
      </c>
      <c r="H15" s="179">
        <f>'Т2 2018'!E39</f>
        <v>13928100</v>
      </c>
      <c r="I15" s="179">
        <f>'Т2 2019'!E39</f>
        <v>13911100</v>
      </c>
      <c r="J15" s="178">
        <v>0</v>
      </c>
      <c r="K15" s="179">
        <v>0</v>
      </c>
      <c r="L15" s="179">
        <v>0</v>
      </c>
    </row>
    <row r="18" spans="1:9" ht="36" customHeight="1">
      <c r="A18" s="352" t="s">
        <v>351</v>
      </c>
      <c r="B18" s="352"/>
      <c r="C18" s="352"/>
      <c r="D18" s="352"/>
      <c r="E18" s="352"/>
      <c r="F18" s="352"/>
      <c r="G18" s="352"/>
      <c r="H18" s="352"/>
      <c r="I18" s="352"/>
    </row>
    <row r="19" spans="1:8" ht="15">
      <c r="A19" s="352" t="s">
        <v>352</v>
      </c>
      <c r="B19" s="352"/>
      <c r="C19" s="352"/>
      <c r="D19" s="352"/>
      <c r="E19" s="352"/>
      <c r="F19" s="352"/>
      <c r="G19" s="352"/>
      <c r="H19" s="352"/>
    </row>
    <row r="20" ht="15">
      <c r="A20" s="180" t="s">
        <v>353</v>
      </c>
    </row>
  </sheetData>
  <sheetProtection/>
  <mergeCells count="14">
    <mergeCell ref="A18:I18"/>
    <mergeCell ref="A19:H19"/>
    <mergeCell ref="A3:L3"/>
    <mergeCell ref="A4:L4"/>
    <mergeCell ref="A5:L5"/>
    <mergeCell ref="A8:A11"/>
    <mergeCell ref="B8:B11"/>
    <mergeCell ref="C8:C11"/>
    <mergeCell ref="D8:L8"/>
    <mergeCell ref="D9:F10"/>
    <mergeCell ref="G9:L9"/>
    <mergeCell ref="G10:I10"/>
    <mergeCell ref="K2:L2"/>
    <mergeCell ref="J10:L10"/>
  </mergeCells>
  <hyperlinks>
    <hyperlink ref="G10" r:id="rId1" display="consultantplus://offline/ref=838F91B6445C383068C9FF87801A905B05D7C2BA03DE6E11CC7160FBE7R6RFF"/>
    <hyperlink ref="J10" r:id="rId2" display="consultantplus://offline/ref=838F91B6445C383068C9FF87801A905B05D7C2BD04D86E11CC7160FBE7R6RFF"/>
  </hyperlinks>
  <printOptions/>
  <pageMargins left="0.25" right="0.25" top="0.75" bottom="0.75" header="0.3" footer="0.3"/>
  <pageSetup horizontalDpi="600" verticalDpi="600" orientation="landscape" paperSize="9" scale="74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SheetLayoutView="100" zoomScalePageLayoutView="0" workbookViewId="0" topLeftCell="A19">
      <selection activeCell="F10" sqref="F10"/>
    </sheetView>
  </sheetViews>
  <sheetFormatPr defaultColWidth="9.00390625" defaultRowHeight="12.75"/>
  <cols>
    <col min="1" max="1" width="50.875" style="32" customWidth="1"/>
    <col min="2" max="3" width="25.75390625" style="32" customWidth="1"/>
    <col min="4" max="16384" width="9.125" style="32" customWidth="1"/>
  </cols>
  <sheetData>
    <row r="1" s="182" customFormat="1" ht="15">
      <c r="C1" s="181" t="s">
        <v>110</v>
      </c>
    </row>
    <row r="2" spans="1:3" ht="15">
      <c r="A2" s="261" t="s">
        <v>97</v>
      </c>
      <c r="B2" s="261"/>
      <c r="C2" s="261"/>
    </row>
    <row r="3" spans="1:3" ht="15">
      <c r="A3" s="261" t="s">
        <v>98</v>
      </c>
      <c r="B3" s="261"/>
      <c r="C3" s="261"/>
    </row>
    <row r="4" spans="1:3" ht="15">
      <c r="A4" s="261" t="s">
        <v>109</v>
      </c>
      <c r="B4" s="261"/>
      <c r="C4" s="261"/>
    </row>
    <row r="5" spans="1:3" ht="15">
      <c r="A5" s="261"/>
      <c r="B5" s="261"/>
      <c r="C5" s="261"/>
    </row>
    <row r="6" spans="1:3" s="45" customFormat="1" ht="42" customHeight="1">
      <c r="A6" s="42" t="s">
        <v>3</v>
      </c>
      <c r="B6" s="42" t="s">
        <v>4</v>
      </c>
      <c r="C6" s="42" t="s">
        <v>99</v>
      </c>
    </row>
    <row r="7" spans="1:3" s="47" customFormat="1" ht="16.5" customHeight="1">
      <c r="A7" s="46">
        <v>1</v>
      </c>
      <c r="B7" s="46">
        <v>2</v>
      </c>
      <c r="C7" s="46">
        <v>3</v>
      </c>
    </row>
    <row r="8" spans="1:3" ht="21.75" customHeight="1">
      <c r="A8" s="51" t="s">
        <v>37</v>
      </c>
      <c r="B8" s="144" t="s">
        <v>343</v>
      </c>
      <c r="C8" s="52">
        <v>41004.5</v>
      </c>
    </row>
    <row r="9" spans="1:3" ht="18.75" customHeight="1">
      <c r="A9" s="51" t="s">
        <v>38</v>
      </c>
      <c r="B9" s="144" t="s">
        <v>344</v>
      </c>
      <c r="C9" s="52">
        <v>0</v>
      </c>
    </row>
    <row r="10" spans="1:3" ht="18" customHeight="1">
      <c r="A10" s="51" t="s">
        <v>100</v>
      </c>
      <c r="B10" s="144" t="s">
        <v>345</v>
      </c>
      <c r="C10" s="52">
        <v>0</v>
      </c>
    </row>
    <row r="11" spans="1:3" ht="18" customHeight="1">
      <c r="A11" s="51" t="s">
        <v>101</v>
      </c>
      <c r="B11" s="144" t="s">
        <v>346</v>
      </c>
      <c r="C11" s="52">
        <v>0</v>
      </c>
    </row>
    <row r="12" spans="1:3" ht="18" customHeight="1">
      <c r="A12" s="145"/>
      <c r="B12" s="146"/>
      <c r="C12" s="147"/>
    </row>
    <row r="13" s="182" customFormat="1" ht="15">
      <c r="C13" s="181" t="s">
        <v>111</v>
      </c>
    </row>
    <row r="14" spans="1:3" s="65" customFormat="1" ht="15">
      <c r="A14" s="261" t="s">
        <v>102</v>
      </c>
      <c r="B14" s="261"/>
      <c r="C14" s="261"/>
    </row>
    <row r="15" ht="15">
      <c r="A15" s="38"/>
    </row>
    <row r="16" spans="1:3" ht="45">
      <c r="A16" s="42" t="s">
        <v>3</v>
      </c>
      <c r="B16" s="42" t="s">
        <v>4</v>
      </c>
      <c r="C16" s="42" t="s">
        <v>99</v>
      </c>
    </row>
    <row r="17" spans="1:3" ht="15">
      <c r="A17" s="44">
        <v>1</v>
      </c>
      <c r="B17" s="44">
        <v>2</v>
      </c>
      <c r="C17" s="44">
        <v>3</v>
      </c>
    </row>
    <row r="18" spans="1:3" ht="15">
      <c r="A18" s="51" t="s">
        <v>103</v>
      </c>
      <c r="B18" s="144" t="s">
        <v>343</v>
      </c>
      <c r="C18" s="52">
        <v>0</v>
      </c>
    </row>
    <row r="19" spans="1:3" ht="60">
      <c r="A19" s="53" t="s">
        <v>104</v>
      </c>
      <c r="B19" s="144" t="s">
        <v>344</v>
      </c>
      <c r="C19" s="52">
        <v>0</v>
      </c>
    </row>
    <row r="20" spans="1:3" ht="30">
      <c r="A20" s="51" t="s">
        <v>105</v>
      </c>
      <c r="B20" s="144" t="s">
        <v>345</v>
      </c>
      <c r="C20" s="52">
        <v>0</v>
      </c>
    </row>
    <row r="21" spans="1:3" ht="15">
      <c r="A21" s="145"/>
      <c r="B21" s="145"/>
      <c r="C21" s="145"/>
    </row>
    <row r="22" spans="1:3" ht="15">
      <c r="A22" s="145"/>
      <c r="B22" s="145"/>
      <c r="C22" s="145"/>
    </row>
    <row r="23" spans="1:3" ht="15">
      <c r="A23" s="145" t="s">
        <v>417</v>
      </c>
      <c r="B23" s="145"/>
      <c r="C23" s="145" t="s">
        <v>411</v>
      </c>
    </row>
    <row r="24" spans="1:3" ht="15">
      <c r="A24" s="145"/>
      <c r="B24" s="145"/>
      <c r="C24" s="145"/>
    </row>
    <row r="25" spans="1:3" ht="15">
      <c r="A25" s="145"/>
      <c r="B25" s="145"/>
      <c r="C25" s="145"/>
    </row>
    <row r="26" spans="1:3" ht="15">
      <c r="A26" s="145" t="s">
        <v>394</v>
      </c>
      <c r="B26" s="145"/>
      <c r="C26" s="145" t="s">
        <v>395</v>
      </c>
    </row>
    <row r="27" spans="1:3" ht="15">
      <c r="A27" s="145"/>
      <c r="B27" s="145"/>
      <c r="C27" s="145"/>
    </row>
    <row r="28" spans="1:3" ht="15">
      <c r="A28" s="145"/>
      <c r="B28" s="145"/>
      <c r="C28" s="145"/>
    </row>
    <row r="29" spans="1:3" ht="15">
      <c r="A29" s="145" t="s">
        <v>354</v>
      </c>
      <c r="B29" s="145"/>
      <c r="C29" s="145" t="s">
        <v>412</v>
      </c>
    </row>
    <row r="30" spans="1:3" ht="15">
      <c r="A30" s="145" t="s">
        <v>396</v>
      </c>
      <c r="B30" s="145"/>
      <c r="C30" s="145"/>
    </row>
  </sheetData>
  <sheetProtection/>
  <mergeCells count="5">
    <mergeCell ref="A14:C14"/>
    <mergeCell ref="A2:C2"/>
    <mergeCell ref="A3:C3"/>
    <mergeCell ref="A4:C4"/>
    <mergeCell ref="A5:C5"/>
  </mergeCells>
  <hyperlinks>
    <hyperlink ref="A19" r:id="rId1" display="consultantplus://offline/ref=1BF242F4A6F15E814FFDA8BA8883EDE30F4271FE77F4760EED3F2D51CF2F37K"/>
  </hyperlink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scale="86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P36"/>
  <sheetViews>
    <sheetView view="pageBreakPreview" zoomScaleSheetLayoutView="100" zoomScalePageLayoutView="0" workbookViewId="0" topLeftCell="A7">
      <selection activeCell="J33" sqref="J33"/>
    </sheetView>
  </sheetViews>
  <sheetFormatPr defaultColWidth="9.00390625" defaultRowHeight="12.75"/>
  <cols>
    <col min="1" max="1" width="3.25390625" style="3" customWidth="1"/>
    <col min="2" max="2" width="16.75390625" style="3" customWidth="1"/>
    <col min="3" max="3" width="9.875" style="3" customWidth="1"/>
    <col min="4" max="4" width="13.125" style="3" customWidth="1"/>
    <col min="5" max="5" width="12.75390625" style="3" customWidth="1"/>
    <col min="6" max="6" width="11.00390625" style="3" customWidth="1"/>
    <col min="7" max="7" width="11.75390625" style="3" customWidth="1"/>
    <col min="8" max="8" width="8.625" style="3" customWidth="1"/>
    <col min="9" max="9" width="12.625" style="3" customWidth="1"/>
    <col min="10" max="10" width="16.25390625" style="3" customWidth="1"/>
    <col min="11" max="11" width="12.25390625" style="3" customWidth="1"/>
    <col min="12" max="12" width="12.375" style="69" customWidth="1"/>
    <col min="13" max="13" width="13.25390625" style="3" customWidth="1"/>
    <col min="14" max="14" width="12.625" style="5" bestFit="1" customWidth="1"/>
    <col min="15" max="15" width="11.375" style="3" customWidth="1"/>
    <col min="16" max="16384" width="9.125" style="3" customWidth="1"/>
  </cols>
  <sheetData>
    <row r="1" spans="1:14" s="76" customFormat="1" ht="14.25">
      <c r="A1" s="365" t="s">
        <v>123</v>
      </c>
      <c r="B1" s="365"/>
      <c r="C1" s="365"/>
      <c r="D1" s="365"/>
      <c r="E1" s="365"/>
      <c r="F1" s="365"/>
      <c r="G1" s="365"/>
      <c r="H1" s="365"/>
      <c r="I1" s="365"/>
      <c r="J1" s="365"/>
      <c r="K1" s="188"/>
      <c r="L1" s="69"/>
      <c r="N1" s="75"/>
    </row>
    <row r="2" spans="12:14" s="76" customFormat="1" ht="14.25">
      <c r="L2" s="69"/>
      <c r="N2" s="75"/>
    </row>
    <row r="3" spans="1:14" s="76" customFormat="1" ht="14.25">
      <c r="A3" s="365" t="s">
        <v>397</v>
      </c>
      <c r="B3" s="365"/>
      <c r="C3" s="365"/>
      <c r="D3" s="365"/>
      <c r="E3" s="365"/>
      <c r="F3" s="365"/>
      <c r="G3" s="365"/>
      <c r="H3" s="365"/>
      <c r="I3" s="365"/>
      <c r="J3" s="365"/>
      <c r="K3" s="188"/>
      <c r="L3" s="69"/>
      <c r="N3" s="75"/>
    </row>
    <row r="4" ht="15">
      <c r="A4" s="4"/>
    </row>
    <row r="5" spans="1:11" ht="15">
      <c r="A5" s="6"/>
      <c r="B5" s="6"/>
      <c r="C5" s="6"/>
      <c r="D5" s="6"/>
      <c r="E5" s="6"/>
      <c r="F5" s="6"/>
      <c r="G5" s="6"/>
      <c r="H5" s="6"/>
      <c r="I5" s="6"/>
      <c r="J5" s="148"/>
      <c r="K5" s="148"/>
    </row>
    <row r="6" spans="1:11" ht="15">
      <c r="A6" s="362" t="s">
        <v>398</v>
      </c>
      <c r="B6" s="362"/>
      <c r="C6" s="362"/>
      <c r="D6" s="362"/>
      <c r="E6" s="362"/>
      <c r="F6" s="362"/>
      <c r="G6" s="362"/>
      <c r="H6" s="362"/>
      <c r="I6" s="362"/>
      <c r="J6" s="362"/>
      <c r="K6" s="163"/>
    </row>
    <row r="7" spans="1:14" s="12" customFormat="1" ht="32.25" customHeight="1">
      <c r="A7" s="363" t="s">
        <v>347</v>
      </c>
      <c r="B7" s="363"/>
      <c r="C7" s="363"/>
      <c r="D7" s="363"/>
      <c r="E7" s="363"/>
      <c r="F7" s="363"/>
      <c r="G7" s="363"/>
      <c r="H7" s="363"/>
      <c r="I7" s="363"/>
      <c r="J7" s="363"/>
      <c r="K7" s="164"/>
      <c r="L7" s="70"/>
      <c r="N7" s="13"/>
    </row>
    <row r="8" ht="15">
      <c r="A8" s="4"/>
    </row>
    <row r="9" spans="1:14" s="76" customFormat="1" ht="14.25">
      <c r="A9" s="365" t="s">
        <v>39</v>
      </c>
      <c r="B9" s="365"/>
      <c r="C9" s="365"/>
      <c r="D9" s="365"/>
      <c r="E9" s="365"/>
      <c r="F9" s="365"/>
      <c r="G9" s="365"/>
      <c r="H9" s="365"/>
      <c r="I9" s="365"/>
      <c r="J9" s="365"/>
      <c r="K9" s="188"/>
      <c r="L9" s="69"/>
      <c r="N9" s="75"/>
    </row>
    <row r="10" ht="15">
      <c r="A10" s="4"/>
    </row>
    <row r="11" spans="1:14" s="23" customFormat="1" ht="30" customHeight="1">
      <c r="A11" s="364" t="s">
        <v>40</v>
      </c>
      <c r="B11" s="364" t="s">
        <v>41</v>
      </c>
      <c r="C11" s="364" t="s">
        <v>42</v>
      </c>
      <c r="D11" s="364" t="s">
        <v>43</v>
      </c>
      <c r="E11" s="364"/>
      <c r="F11" s="364"/>
      <c r="G11" s="364"/>
      <c r="H11" s="364" t="s">
        <v>44</v>
      </c>
      <c r="I11" s="364" t="s">
        <v>45</v>
      </c>
      <c r="J11" s="364" t="s">
        <v>112</v>
      </c>
      <c r="K11" s="165"/>
      <c r="L11" s="71"/>
      <c r="N11" s="10"/>
    </row>
    <row r="12" spans="1:14" s="23" customFormat="1" ht="15">
      <c r="A12" s="364"/>
      <c r="B12" s="364"/>
      <c r="C12" s="364"/>
      <c r="D12" s="364" t="s">
        <v>7</v>
      </c>
      <c r="E12" s="364" t="s">
        <v>8</v>
      </c>
      <c r="F12" s="364"/>
      <c r="G12" s="364"/>
      <c r="H12" s="364"/>
      <c r="I12" s="364"/>
      <c r="J12" s="364"/>
      <c r="K12" s="165"/>
      <c r="L12" s="71"/>
      <c r="N12" s="10"/>
    </row>
    <row r="13" spans="1:14" s="23" customFormat="1" ht="87" customHeight="1">
      <c r="A13" s="364"/>
      <c r="B13" s="364"/>
      <c r="C13" s="364"/>
      <c r="D13" s="364"/>
      <c r="E13" s="22" t="s">
        <v>46</v>
      </c>
      <c r="F13" s="22" t="s">
        <v>47</v>
      </c>
      <c r="G13" s="22" t="s">
        <v>48</v>
      </c>
      <c r="H13" s="364"/>
      <c r="I13" s="364"/>
      <c r="J13" s="364"/>
      <c r="K13" s="165" t="s">
        <v>413</v>
      </c>
      <c r="L13" s="71"/>
      <c r="N13" s="10"/>
    </row>
    <row r="14" spans="1:14" s="25" customFormat="1" ht="12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166"/>
      <c r="L14" s="72"/>
      <c r="N14" s="26"/>
    </row>
    <row r="15" spans="1:16" ht="23.25" customHeight="1">
      <c r="A15" s="15">
        <v>1</v>
      </c>
      <c r="B15" s="27" t="s">
        <v>77</v>
      </c>
      <c r="C15" s="19">
        <v>1</v>
      </c>
      <c r="D15" s="19">
        <f aca="true" t="shared" si="0" ref="D15:D20">E15+F15+G15</f>
        <v>32092</v>
      </c>
      <c r="E15" s="20">
        <v>11300</v>
      </c>
      <c r="F15" s="20">
        <v>1695</v>
      </c>
      <c r="G15" s="19">
        <v>19097</v>
      </c>
      <c r="H15" s="28">
        <v>0</v>
      </c>
      <c r="I15" s="19">
        <f aca="true" t="shared" si="1" ref="I15:I20">D15*0.15</f>
        <v>4813.8</v>
      </c>
      <c r="J15" s="19">
        <f>ROUND((D15+I15)*12,2)+0.04</f>
        <v>442869.63999999996</v>
      </c>
      <c r="K15" s="167">
        <f aca="true" t="shared" si="2" ref="K15:K20">D15+I15</f>
        <v>36905.8</v>
      </c>
      <c r="L15" s="73" t="s">
        <v>355</v>
      </c>
      <c r="M15" s="73">
        <v>2324600</v>
      </c>
      <c r="N15" s="5">
        <f>J15+J17</f>
        <v>2324600</v>
      </c>
      <c r="O15" s="5">
        <f>N15-M15</f>
        <v>0</v>
      </c>
      <c r="P15" s="3">
        <f>O15/12/1.15</f>
        <v>0</v>
      </c>
    </row>
    <row r="16" spans="1:16" ht="43.5" customHeight="1">
      <c r="A16" s="15">
        <v>2</v>
      </c>
      <c r="B16" s="27" t="s">
        <v>358</v>
      </c>
      <c r="C16" s="19">
        <v>1</v>
      </c>
      <c r="D16" s="19">
        <f t="shared" si="0"/>
        <v>7910</v>
      </c>
      <c r="E16" s="20">
        <v>7910</v>
      </c>
      <c r="F16" s="20"/>
      <c r="G16" s="19">
        <v>0</v>
      </c>
      <c r="H16" s="28">
        <v>0</v>
      </c>
      <c r="I16" s="19">
        <f t="shared" si="1"/>
        <v>1186.5</v>
      </c>
      <c r="J16" s="19">
        <f>ROUND((D16+I16)*12,2)+0.04</f>
        <v>109158.04</v>
      </c>
      <c r="K16" s="167">
        <f t="shared" si="2"/>
        <v>9096.5</v>
      </c>
      <c r="L16" s="73" t="s">
        <v>356</v>
      </c>
      <c r="M16" s="73">
        <v>7607400</v>
      </c>
      <c r="N16" s="5">
        <f>J18+J19</f>
        <v>7607400</v>
      </c>
      <c r="O16" s="5">
        <f>N16-M16</f>
        <v>0</v>
      </c>
      <c r="P16" s="3">
        <f>O16/12/1.15</f>
        <v>0</v>
      </c>
    </row>
    <row r="17" spans="1:16" ht="41.25" customHeight="1">
      <c r="A17" s="15">
        <v>3</v>
      </c>
      <c r="B17" s="27" t="s">
        <v>359</v>
      </c>
      <c r="C17" s="19">
        <v>18</v>
      </c>
      <c r="D17" s="19">
        <f t="shared" si="0"/>
        <v>136357.27000000002</v>
      </c>
      <c r="E17" s="20">
        <v>95760</v>
      </c>
      <c r="F17" s="20">
        <f>1596+3192</f>
        <v>4788</v>
      </c>
      <c r="G17" s="19">
        <f>30856+4953.27</f>
        <v>35809.270000000004</v>
      </c>
      <c r="H17" s="28">
        <v>0</v>
      </c>
      <c r="I17" s="19">
        <f t="shared" si="1"/>
        <v>20453.590500000002</v>
      </c>
      <c r="J17" s="19">
        <f>ROUND((D17+I17)*12,2)+0.03</f>
        <v>1881730.36</v>
      </c>
      <c r="K17" s="167">
        <f t="shared" si="2"/>
        <v>156810.8605</v>
      </c>
      <c r="L17" s="73" t="s">
        <v>357</v>
      </c>
      <c r="M17" s="73">
        <v>2462200</v>
      </c>
      <c r="N17" s="5">
        <f>J16+J20</f>
        <v>2462200</v>
      </c>
      <c r="O17" s="5">
        <f>N17-M17</f>
        <v>0</v>
      </c>
      <c r="P17" s="3">
        <f>O17/12/1.15</f>
        <v>0</v>
      </c>
    </row>
    <row r="18" spans="1:15" ht="35.25" customHeight="1">
      <c r="A18" s="15">
        <v>4</v>
      </c>
      <c r="B18" s="27" t="s">
        <v>114</v>
      </c>
      <c r="C18" s="19">
        <v>25.8</v>
      </c>
      <c r="D18" s="19">
        <f t="shared" si="0"/>
        <v>336289.49</v>
      </c>
      <c r="E18" s="20">
        <v>204826.2</v>
      </c>
      <c r="F18" s="20">
        <v>9050.46</v>
      </c>
      <c r="G18" s="19">
        <f>71212.83+51200</f>
        <v>122412.83</v>
      </c>
      <c r="H18" s="28">
        <v>0</v>
      </c>
      <c r="I18" s="19">
        <f t="shared" si="1"/>
        <v>50443.4235</v>
      </c>
      <c r="J18" s="19">
        <f>ROUND((D18+I18)*12,2)+0.04</f>
        <v>4640795</v>
      </c>
      <c r="K18" s="167">
        <f t="shared" si="2"/>
        <v>386732.91349999997</v>
      </c>
      <c r="L18" s="73"/>
      <c r="M18" s="73"/>
      <c r="O18" s="5"/>
    </row>
    <row r="19" spans="1:15" ht="48.75" customHeight="1">
      <c r="A19" s="15">
        <v>5</v>
      </c>
      <c r="B19" s="27" t="s">
        <v>115</v>
      </c>
      <c r="C19" s="19">
        <f>1.5+1+3+2+3.5+1.2</f>
        <v>12.2</v>
      </c>
      <c r="D19" s="19">
        <f t="shared" si="0"/>
        <v>214971.38</v>
      </c>
      <c r="E19" s="20">
        <f>12193.5+7939+24387+16258+25126.5+7179+1435.8</f>
        <v>94518.8</v>
      </c>
      <c r="F19" s="20">
        <f>4877.4+3251.6</f>
        <v>8129</v>
      </c>
      <c r="G19" s="19">
        <f>4877.4+1190.85+10161.25+8129+12383.78+1794.75+358.95+24400+49027.6</f>
        <v>112323.57999999999</v>
      </c>
      <c r="H19" s="28">
        <v>0</v>
      </c>
      <c r="I19" s="19">
        <f t="shared" si="1"/>
        <v>32245.707</v>
      </c>
      <c r="J19" s="19">
        <f>ROUND((D19+I19)*12,2)-0.04</f>
        <v>2966605</v>
      </c>
      <c r="K19" s="167">
        <f t="shared" si="2"/>
        <v>247217.087</v>
      </c>
      <c r="L19" s="73"/>
      <c r="M19" s="73"/>
      <c r="O19" s="5"/>
    </row>
    <row r="20" spans="1:15" ht="47.25" customHeight="1">
      <c r="A20" s="15">
        <v>6</v>
      </c>
      <c r="B20" s="27" t="s">
        <v>78</v>
      </c>
      <c r="C20" s="19">
        <f>79.8-C15-C16-C17-C18-C19</f>
        <v>21.8</v>
      </c>
      <c r="D20" s="19">
        <f t="shared" si="0"/>
        <v>170510.28000000003</v>
      </c>
      <c r="E20" s="20">
        <f>510170-414315</f>
        <v>95855</v>
      </c>
      <c r="F20" s="20">
        <f>31936.96-23662.46</f>
        <v>8274.5</v>
      </c>
      <c r="G20" s="19">
        <f>200355.89+75600-235661.81+26086.7</f>
        <v>66380.78000000001</v>
      </c>
      <c r="H20" s="28">
        <v>0</v>
      </c>
      <c r="I20" s="19">
        <f t="shared" si="1"/>
        <v>25576.542000000005</v>
      </c>
      <c r="J20" s="19">
        <f>ROUND((D20+I20)*12,2)+0.1</f>
        <v>2353041.96</v>
      </c>
      <c r="K20" s="167">
        <f t="shared" si="2"/>
        <v>196086.82200000004</v>
      </c>
      <c r="L20" s="73"/>
      <c r="M20" s="73"/>
      <c r="O20" s="5"/>
    </row>
    <row r="21" spans="1:14" s="76" customFormat="1" ht="15">
      <c r="A21" s="366" t="s">
        <v>49</v>
      </c>
      <c r="B21" s="366"/>
      <c r="C21" s="21">
        <f>SUM(C15:C20)</f>
        <v>79.8</v>
      </c>
      <c r="D21" s="21">
        <f>SUM(D15:D20)</f>
        <v>898130.42</v>
      </c>
      <c r="E21" s="21" t="s">
        <v>50</v>
      </c>
      <c r="F21" s="21" t="s">
        <v>50</v>
      </c>
      <c r="G21" s="21" t="s">
        <v>50</v>
      </c>
      <c r="H21" s="21" t="s">
        <v>50</v>
      </c>
      <c r="I21" s="21" t="s">
        <v>50</v>
      </c>
      <c r="J21" s="21">
        <f>SUM(J15:J20)</f>
        <v>12394200</v>
      </c>
      <c r="K21" s="167">
        <f>SUM(K15:K20)</f>
        <v>1032849.9830000001</v>
      </c>
      <c r="L21" s="73"/>
      <c r="M21" s="74"/>
      <c r="N21" s="75"/>
    </row>
    <row r="22" spans="4:14" ht="15">
      <c r="D22" s="10"/>
      <c r="E22" s="10"/>
      <c r="F22" s="10"/>
      <c r="G22" s="10"/>
      <c r="H22" s="10"/>
      <c r="I22" s="10"/>
      <c r="J22" s="10"/>
      <c r="K22" s="73"/>
      <c r="L22" s="10"/>
      <c r="M22" s="5"/>
      <c r="N22" s="3"/>
    </row>
    <row r="23" s="32" customFormat="1" ht="15">
      <c r="F23" s="33"/>
    </row>
    <row r="24" spans="6:10" s="32" customFormat="1" ht="21.75" customHeight="1">
      <c r="F24" s="33"/>
      <c r="J24" s="33"/>
    </row>
    <row r="25" spans="1:10" s="32" customFormat="1" ht="15">
      <c r="A25" s="361" t="s">
        <v>421</v>
      </c>
      <c r="B25" s="361"/>
      <c r="C25" s="361"/>
      <c r="D25" s="361"/>
      <c r="E25" s="361"/>
      <c r="F25" s="361"/>
      <c r="G25" s="361"/>
      <c r="H25" s="361"/>
      <c r="I25" s="361"/>
      <c r="J25" s="361"/>
    </row>
    <row r="26" spans="1:10" s="32" customFormat="1" ht="4.5" customHeight="1">
      <c r="A26" s="361"/>
      <c r="B26" s="361"/>
      <c r="C26" s="361"/>
      <c r="D26" s="361"/>
      <c r="E26" s="361"/>
      <c r="F26" s="361"/>
      <c r="G26" s="361"/>
      <c r="H26" s="361"/>
      <c r="I26" s="361"/>
      <c r="J26" s="361"/>
    </row>
    <row r="27" spans="1:6" s="32" customFormat="1" ht="15">
      <c r="A27" s="157"/>
      <c r="B27" s="157"/>
      <c r="C27" s="157"/>
      <c r="D27" s="157"/>
      <c r="E27" s="157"/>
      <c r="F27" s="157"/>
    </row>
    <row r="28" spans="1:14" ht="15">
      <c r="A28" s="362" t="s">
        <v>399</v>
      </c>
      <c r="B28" s="362"/>
      <c r="C28" s="362"/>
      <c r="D28" s="362"/>
      <c r="E28" s="362"/>
      <c r="F28" s="362"/>
      <c r="G28" s="362"/>
      <c r="H28" s="362"/>
      <c r="I28" s="362"/>
      <c r="J28" s="362"/>
      <c r="K28" s="69"/>
      <c r="L28" s="3"/>
      <c r="M28" s="5"/>
      <c r="N28" s="3"/>
    </row>
    <row r="29" spans="1:13" s="12" customFormat="1" ht="40.5" customHeight="1">
      <c r="A29" s="363" t="s">
        <v>347</v>
      </c>
      <c r="B29" s="363"/>
      <c r="C29" s="363"/>
      <c r="D29" s="363"/>
      <c r="E29" s="363"/>
      <c r="F29" s="363"/>
      <c r="G29" s="363"/>
      <c r="H29" s="363"/>
      <c r="I29" s="363"/>
      <c r="J29" s="363"/>
      <c r="K29" s="70"/>
      <c r="M29" s="13"/>
    </row>
    <row r="30" s="32" customFormat="1" ht="15">
      <c r="A30" s="38"/>
    </row>
    <row r="31" spans="1:10" s="45" customFormat="1" ht="90.75" customHeight="1">
      <c r="A31" s="42" t="s">
        <v>40</v>
      </c>
      <c r="B31" s="262" t="s">
        <v>51</v>
      </c>
      <c r="C31" s="262"/>
      <c r="D31" s="262"/>
      <c r="E31" s="262"/>
      <c r="F31" s="262" t="s">
        <v>106</v>
      </c>
      <c r="G31" s="262"/>
      <c r="H31" s="42" t="s">
        <v>107</v>
      </c>
      <c r="I31" s="42" t="s">
        <v>108</v>
      </c>
      <c r="J31" s="42" t="s">
        <v>83</v>
      </c>
    </row>
    <row r="32" spans="1:10" s="45" customFormat="1" ht="14.25" customHeight="1">
      <c r="A32" s="42">
        <v>1</v>
      </c>
      <c r="B32" s="262">
        <v>2</v>
      </c>
      <c r="C32" s="262"/>
      <c r="D32" s="262"/>
      <c r="E32" s="262"/>
      <c r="F32" s="262">
        <v>3</v>
      </c>
      <c r="G32" s="262"/>
      <c r="H32" s="189">
        <v>4</v>
      </c>
      <c r="I32" s="189">
        <v>5</v>
      </c>
      <c r="J32" s="189">
        <v>6</v>
      </c>
    </row>
    <row r="33" spans="1:10" s="32" customFormat="1" ht="39" customHeight="1">
      <c r="A33" s="35">
        <v>1</v>
      </c>
      <c r="B33" s="359" t="s">
        <v>422</v>
      </c>
      <c r="C33" s="359"/>
      <c r="D33" s="359"/>
      <c r="E33" s="359"/>
      <c r="F33" s="360">
        <v>835</v>
      </c>
      <c r="G33" s="360"/>
      <c r="H33" s="190">
        <v>3</v>
      </c>
      <c r="I33" s="191">
        <v>2</v>
      </c>
      <c r="J33" s="191">
        <v>5000</v>
      </c>
    </row>
    <row r="34" spans="1:10" s="54" customFormat="1" ht="14.25">
      <c r="A34" s="357" t="s">
        <v>49</v>
      </c>
      <c r="B34" s="357"/>
      <c r="C34" s="357"/>
      <c r="D34" s="357"/>
      <c r="E34" s="357"/>
      <c r="F34" s="358" t="s">
        <v>423</v>
      </c>
      <c r="G34" s="358"/>
      <c r="H34" s="192" t="s">
        <v>423</v>
      </c>
      <c r="I34" s="193" t="s">
        <v>423</v>
      </c>
      <c r="J34" s="193">
        <f>J33</f>
        <v>5000</v>
      </c>
    </row>
    <row r="35" spans="4:14" ht="15">
      <c r="D35" s="10"/>
      <c r="E35" s="10"/>
      <c r="F35" s="10"/>
      <c r="G35" s="10"/>
      <c r="H35" s="10"/>
      <c r="I35" s="10"/>
      <c r="J35" s="10"/>
      <c r="K35" s="73"/>
      <c r="L35" s="10"/>
      <c r="M35" s="5"/>
      <c r="N35" s="3"/>
    </row>
    <row r="36" spans="11:14" ht="15">
      <c r="K36" s="69"/>
      <c r="L36" s="3"/>
      <c r="M36" s="5"/>
      <c r="N36" s="3"/>
    </row>
  </sheetData>
  <sheetProtection/>
  <mergeCells count="26">
    <mergeCell ref="A6:J6"/>
    <mergeCell ref="A1:J1"/>
    <mergeCell ref="A21:B21"/>
    <mergeCell ref="A3:J3"/>
    <mergeCell ref="A7:J7"/>
    <mergeCell ref="A9:J9"/>
    <mergeCell ref="H11:H13"/>
    <mergeCell ref="I11:I13"/>
    <mergeCell ref="J11:J13"/>
    <mergeCell ref="D12:D13"/>
    <mergeCell ref="A11:A13"/>
    <mergeCell ref="B11:B13"/>
    <mergeCell ref="C11:C13"/>
    <mergeCell ref="D11:G11"/>
    <mergeCell ref="E12:G12"/>
    <mergeCell ref="A25:J26"/>
    <mergeCell ref="A28:J28"/>
    <mergeCell ref="A29:J29"/>
    <mergeCell ref="B31:E31"/>
    <mergeCell ref="F31:G31"/>
    <mergeCell ref="A34:E34"/>
    <mergeCell ref="F34:G34"/>
    <mergeCell ref="B32:E32"/>
    <mergeCell ref="F32:G32"/>
    <mergeCell ref="B33:E33"/>
    <mergeCell ref="F33:G33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DIXON</cp:lastModifiedBy>
  <cp:lastPrinted>2017-05-18T11:26:43Z</cp:lastPrinted>
  <dcterms:created xsi:type="dcterms:W3CDTF">2016-11-15T11:35:14Z</dcterms:created>
  <dcterms:modified xsi:type="dcterms:W3CDTF">2017-07-13T10:50:18Z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